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2"/>
  </bookViews>
  <sheets>
    <sheet name="第一周" sheetId="1" r:id="rId1"/>
    <sheet name="第二周" sheetId="2" r:id="rId2"/>
    <sheet name="第三周" sheetId="3" r:id="rId3"/>
    <sheet name="第四周" sheetId="4" r:id="rId4"/>
    <sheet name="第五周" sheetId="5" r:id="rId5"/>
    <sheet name="總表" sheetId="6" r:id="rId6"/>
  </sheets>
  <externalReferences>
    <externalReference r:id="rId9"/>
    <externalReference r:id="rId10"/>
  </externalReferences>
  <definedNames>
    <definedName name="_xlnm.Print_Area" localSheetId="0">'第一周'!$A$1:$AI$34</definedName>
    <definedName name="_xlnm.Print_Area" localSheetId="1">'第二周'!$A$1:$AI$35</definedName>
    <definedName name="_xlnm.Print_Area" localSheetId="2">'第三周'!$A$1:$AP$34</definedName>
    <definedName name="_xlnm.Print_Area" localSheetId="4">'第五周'!$A$1:$AI$35</definedName>
    <definedName name="_xlnm.Print_Area" localSheetId="3">'第四周'!$A$1:$AG$34</definedName>
  </definedNames>
  <calcPr fullCalcOnLoad="1"/>
</workbook>
</file>

<file path=xl/comments3.xml><?xml version="1.0" encoding="utf-8"?>
<comments xmlns="http://schemas.openxmlformats.org/spreadsheetml/2006/main">
  <authors>
    <author>NOP</author>
  </authors>
  <commentList>
    <comment ref="B6" authorId="0">
      <text>
        <r>
          <rPr>
            <b/>
            <sz val="9"/>
            <rFont val="Tahoma"/>
            <family val="2"/>
          </rPr>
          <t>NOP: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6</t>
        </r>
        <r>
          <rPr>
            <sz val="14"/>
            <rFont val="細明體"/>
            <family val="3"/>
          </rPr>
          <t>片/包</t>
        </r>
      </text>
    </comment>
  </commentList>
</comments>
</file>

<file path=xl/sharedStrings.xml><?xml version="1.0" encoding="utf-8"?>
<sst xmlns="http://schemas.openxmlformats.org/spreadsheetml/2006/main" count="1471" uniqueCount="295">
  <si>
    <t>菜名</t>
  </si>
  <si>
    <t>食材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</si>
  <si>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</si>
  <si>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</si>
  <si>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</si>
  <si>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</si>
  <si>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</si>
  <si>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</si>
  <si>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</si>
  <si>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</si>
  <si>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上午</t>
  </si>
  <si>
    <t>K</t>
  </si>
  <si>
    <t>下午</t>
  </si>
  <si>
    <t>罐</t>
  </si>
  <si>
    <t>包</t>
  </si>
  <si>
    <t>庫</t>
  </si>
  <si>
    <t>罐</t>
  </si>
  <si>
    <t>洗選蛋</t>
  </si>
  <si>
    <t>二砂糖</t>
  </si>
  <si>
    <t>紅蘿蔔</t>
  </si>
  <si>
    <t>木瓜</t>
  </si>
  <si>
    <t>高麗菜</t>
  </si>
  <si>
    <t>顆</t>
  </si>
  <si>
    <t>上午</t>
  </si>
  <si>
    <t>盒</t>
  </si>
  <si>
    <t>1人</t>
  </si>
  <si>
    <t>中秋特餐/韓式燒肉飯</t>
  </si>
  <si>
    <t>個</t>
  </si>
  <si>
    <t>小香菇</t>
  </si>
  <si>
    <t>洋蔥去皮</t>
  </si>
  <si>
    <t>芭樂</t>
  </si>
  <si>
    <t>玉米粒綠巨人</t>
  </si>
  <si>
    <t>香蕉</t>
  </si>
  <si>
    <t>木耳朵</t>
  </si>
  <si>
    <t>星期</t>
  </si>
  <si>
    <t>星期一</t>
  </si>
  <si>
    <t>星期二</t>
  </si>
  <si>
    <t>星期三</t>
  </si>
  <si>
    <t>星期四</t>
  </si>
  <si>
    <t>星期五</t>
  </si>
  <si>
    <t>日期</t>
  </si>
  <si>
    <t>下午</t>
  </si>
  <si>
    <t>K</t>
  </si>
  <si>
    <t>無籽葡萄</t>
  </si>
  <si>
    <t>蔥</t>
  </si>
  <si>
    <t>火龍果</t>
  </si>
  <si>
    <r>
      <rPr>
        <b/>
        <sz val="12"/>
        <rFont val="標楷體"/>
        <family val="4"/>
      </rPr>
      <t>菜名</t>
    </r>
  </si>
  <si>
    <r>
      <rPr>
        <sz val="12"/>
        <rFont val="標楷體"/>
        <family val="4"/>
      </rPr>
      <t>小米飯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</si>
  <si>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</si>
  <si>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特餐</t>
    </r>
  </si>
  <si>
    <r>
      <rPr>
        <sz val="12"/>
        <rFont val="標楷體"/>
        <family val="4"/>
      </rPr>
      <t>十穀飯</t>
    </r>
  </si>
  <si>
    <r>
      <rPr>
        <b/>
        <sz val="14"/>
        <rFont val="標楷體"/>
        <family val="4"/>
      </rPr>
      <t>中秋特餐</t>
    </r>
    <r>
      <rPr>
        <b/>
        <sz val="14"/>
        <rFont val="Times New Roman"/>
        <family val="1"/>
      </rPr>
      <t>/</t>
    </r>
    <r>
      <rPr>
        <b/>
        <sz val="14"/>
        <rFont val="標楷體"/>
        <family val="4"/>
      </rPr>
      <t>韓式燒肉飯</t>
    </r>
  </si>
  <si>
    <t>金針菇</t>
  </si>
  <si>
    <t>竹筍</t>
  </si>
  <si>
    <t>小白菜</t>
  </si>
  <si>
    <t>刈包</t>
  </si>
  <si>
    <t>炒粄條</t>
  </si>
  <si>
    <t>馬鈴薯</t>
  </si>
  <si>
    <t>洋蔥</t>
  </si>
  <si>
    <t>玉米醬綠巨人</t>
  </si>
  <si>
    <r>
      <rPr>
        <sz val="12"/>
        <color indexed="8"/>
        <rFont val="微軟正黑體"/>
        <family val="2"/>
      </rPr>
      <t>庫</t>
    </r>
  </si>
  <si>
    <t>薑絲</t>
  </si>
  <si>
    <t xml:space="preserve">玉米濃湯    </t>
  </si>
  <si>
    <t>小餐包</t>
  </si>
  <si>
    <t>砂糖</t>
  </si>
  <si>
    <t>片</t>
  </si>
  <si>
    <t>什錦炒米苔目</t>
  </si>
  <si>
    <t>米苔目</t>
  </si>
  <si>
    <t>瓠瓜肉絲粥</t>
  </si>
  <si>
    <t>白米2.4k</t>
  </si>
  <si>
    <t>吐司(長)</t>
  </si>
  <si>
    <t>條</t>
  </si>
  <si>
    <t>什錦炒麵</t>
  </si>
  <si>
    <t>低脂肉絲cas(1K)</t>
  </si>
  <si>
    <t>低脂肉絲cas庫0.5</t>
  </si>
  <si>
    <t>吐司(短)</t>
  </si>
  <si>
    <t>小木耳</t>
  </si>
  <si>
    <t>洗選蛋(10入)</t>
  </si>
  <si>
    <t>瓠瓜</t>
  </si>
  <si>
    <t>低脂肉絲1K</t>
  </si>
  <si>
    <t>紅蘿蔔</t>
  </si>
  <si>
    <t>青蔥</t>
  </si>
  <si>
    <t>紅蔥頭</t>
  </si>
  <si>
    <t>西芹</t>
  </si>
  <si>
    <t>香菇</t>
  </si>
  <si>
    <t>紅蔥頭</t>
  </si>
  <si>
    <t>根</t>
  </si>
  <si>
    <t>綠豆芽</t>
  </si>
  <si>
    <t>生香菇</t>
  </si>
  <si>
    <t>韭菜</t>
  </si>
  <si>
    <t>乾香菇</t>
  </si>
  <si>
    <t>洋蔥</t>
  </si>
  <si>
    <t>水果拼盤 / 鮮奶</t>
  </si>
  <si>
    <t>綠豆</t>
  </si>
  <si>
    <t xml:space="preserve">水果優格 </t>
  </si>
  <si>
    <t>原味優格(福樂</t>
  </si>
  <si>
    <t>杯</t>
  </si>
  <si>
    <t>小餐包   /   鮮奶米漿</t>
  </si>
  <si>
    <t>鳳梨</t>
  </si>
  <si>
    <t>葡萄</t>
  </si>
  <si>
    <r>
      <rPr>
        <sz val="12"/>
        <color indexed="8"/>
        <rFont val="微軟正黑體"/>
        <family val="2"/>
      </rPr>
      <t>包</t>
    </r>
  </si>
  <si>
    <t>大蘋果</t>
  </si>
  <si>
    <t>鮮奶1L</t>
  </si>
  <si>
    <t>米漿鮮奶混合</t>
  </si>
  <si>
    <t>鳳梨底部不發黴</t>
  </si>
  <si>
    <t>營養分析</t>
  </si>
  <si>
    <t>全穀雜糧類(份)</t>
  </si>
  <si>
    <t>豆魚蛋肉類(份)</t>
  </si>
  <si>
    <t>蔬菜類(份)</t>
  </si>
  <si>
    <t>油脂與堅果種子(份)</t>
  </si>
  <si>
    <t>油脂與堅果種子(份)</t>
  </si>
  <si>
    <t>水果類(份)</t>
  </si>
  <si>
    <t>奶類(份)</t>
  </si>
  <si>
    <t>總熱量(大卡)</t>
  </si>
  <si>
    <t xml:space="preserve">營養師：                                                       學務主任：                                                        校長：                                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</si>
  <si>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</si>
  <si>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蘿蔔糕湯</t>
  </si>
  <si>
    <t>港式蘿蔔糕1.2K</t>
  </si>
  <si>
    <t>板條(東寶)</t>
  </si>
  <si>
    <t>肉片刈包 / 優酪乳</t>
  </si>
  <si>
    <t>火鍋肉片</t>
  </si>
  <si>
    <t>低脂肉絲(1k庫</t>
  </si>
  <si>
    <t>紅蔥頭(庫1.2K</t>
  </si>
  <si>
    <t>低脂絞肉庫0.5</t>
  </si>
  <si>
    <t>綠豆芽</t>
  </si>
  <si>
    <t>紅蔥頭(0.2K</t>
  </si>
  <si>
    <t>韭菜</t>
  </si>
  <si>
    <t>水果拼盤  / 鮮奶</t>
  </si>
  <si>
    <t>自製水果凍</t>
  </si>
  <si>
    <t>洋菜條30g/包</t>
  </si>
  <si>
    <t>紅龍果</t>
  </si>
  <si>
    <t>水7000c.c.</t>
  </si>
  <si>
    <t>洋菜條:水=1包:3500c.c.</t>
  </si>
  <si>
    <t>起司蛋吐司 / 鮮奶</t>
  </si>
  <si>
    <t>鮪魚蛋餅 / 優酪乳</t>
  </si>
  <si>
    <t>炒烏龍麵</t>
  </si>
  <si>
    <t>小烏龍麵</t>
  </si>
  <si>
    <t>起司片12片/包</t>
  </si>
  <si>
    <t>低脂肉絲(1K)</t>
  </si>
  <si>
    <t>大白菜</t>
  </si>
  <si>
    <t>白米1.2K</t>
  </si>
  <si>
    <t>銀魚莧菜羹</t>
  </si>
  <si>
    <t>莧菜</t>
  </si>
  <si>
    <t>絲瓜麵線</t>
  </si>
  <si>
    <t>絲瓜</t>
  </si>
  <si>
    <t>水果拼盤  /  鮮奶</t>
  </si>
  <si>
    <t>自製水果奶酪</t>
  </si>
  <si>
    <t>三環麵線0.6K</t>
  </si>
  <si>
    <t>吉利丁</t>
  </si>
  <si>
    <t>鮮香菇</t>
  </si>
  <si>
    <t>蔥</t>
  </si>
  <si>
    <t>二砂1K(台糖</t>
  </si>
  <si>
    <t>雞胸肉絲</t>
  </si>
  <si>
    <t>吻仔魚</t>
  </si>
  <si>
    <t>蛤蜊(大</t>
  </si>
  <si>
    <t>中華盒裝豆腐</t>
  </si>
  <si>
    <r>
      <rPr>
        <sz val="12"/>
        <color indexed="8"/>
        <rFont val="微軟正黑體"/>
        <family val="2"/>
      </rPr>
      <t>盒</t>
    </r>
  </si>
  <si>
    <t>(水果切丁鋪奶酪上面)</t>
  </si>
  <si>
    <r>
      <t>(</t>
    </r>
    <r>
      <rPr>
        <sz val="12"/>
        <color indexed="10"/>
        <rFont val="微軟正黑體"/>
        <family val="2"/>
      </rPr>
      <t>奶酪食材前一天進)</t>
    </r>
  </si>
  <si>
    <t>鮮奶:吉利丁=133cc:1片</t>
  </si>
  <si>
    <t>白米1.8k</t>
  </si>
  <si>
    <t>雞絲蛋餅</t>
  </si>
  <si>
    <t>魷魚圈(1K)</t>
  </si>
  <si>
    <t>包</t>
  </si>
  <si>
    <t>桂冠蛋餅皮7入/包</t>
  </si>
  <si>
    <t>蚵仔&lt;嘉新&gt;.(0.3K)</t>
  </si>
  <si>
    <t>清雞絲CAS</t>
  </si>
  <si>
    <t>低脂絞肉0.5K</t>
  </si>
  <si>
    <r>
      <rPr>
        <b/>
        <sz val="12"/>
        <color indexed="10"/>
        <rFont val="微軟正黑體"/>
        <family val="2"/>
      </rPr>
      <t>食材前一天先進</t>
    </r>
  </si>
  <si>
    <t>香蕉優格</t>
  </si>
  <si>
    <t>【本校一律使用國產豬、牛肉食材】</t>
  </si>
  <si>
    <t>義大利貝殼麵</t>
  </si>
  <si>
    <t>有機核桃蔓越莓麥片</t>
  </si>
  <si>
    <t>(米森家樂福450g)</t>
  </si>
  <si>
    <t>芒果</t>
  </si>
  <si>
    <t>牛奶脆片  /  水果</t>
  </si>
  <si>
    <t>百香果</t>
  </si>
  <si>
    <t>濃湯義大利麵</t>
  </si>
  <si>
    <t>豬血</t>
  </si>
  <si>
    <t>酸辣湯麵</t>
  </si>
  <si>
    <t>白小油麵</t>
  </si>
  <si>
    <t>蔥油餅加蛋  /  豆漿</t>
  </si>
  <si>
    <t>卡好蔥油派</t>
  </si>
  <si>
    <t>盒</t>
  </si>
  <si>
    <t>黑糖</t>
  </si>
  <si>
    <t>檸檬(顆)</t>
  </si>
  <si>
    <t>瓶</t>
  </si>
  <si>
    <t>綠豆牛奶 / 水果</t>
  </si>
  <si>
    <t>絲瓜</t>
  </si>
  <si>
    <t>絲瓜稀飯</t>
  </si>
  <si>
    <t>紅蔥頭(先送)</t>
  </si>
  <si>
    <t>鮮肉包   /   豆漿鮮奶</t>
  </si>
  <si>
    <t>(桂冠)</t>
  </si>
  <si>
    <t>鮮肉包70g</t>
  </si>
  <si>
    <t>低糖豆漿1L</t>
  </si>
  <si>
    <t>顆</t>
  </si>
  <si>
    <t>小番茄</t>
  </si>
  <si>
    <t>蒜頭蛤蠣麵</t>
  </si>
  <si>
    <t>雞腿丁</t>
  </si>
  <si>
    <t>薑片</t>
  </si>
  <si>
    <t>蒜瓣</t>
  </si>
  <si>
    <r>
      <t>紅豆</t>
    </r>
    <r>
      <rPr>
        <sz val="12"/>
        <rFont val="Times New Roman"/>
        <family val="1"/>
      </rPr>
      <t>0.5k</t>
    </r>
  </si>
  <si>
    <t>包</t>
  </si>
  <si>
    <t>餛飩麵</t>
  </si>
  <si>
    <t>桂冠雲吞12入</t>
  </si>
  <si>
    <t>小白菜</t>
  </si>
  <si>
    <t>乾海帶芽600G</t>
  </si>
  <si>
    <t>金針菇</t>
  </si>
  <si>
    <t>柴魚片 5G</t>
  </si>
  <si>
    <t>麻油赤肉麵線</t>
  </si>
  <si>
    <t>鴻禧菇100G</t>
  </si>
  <si>
    <t>乾豆捲</t>
  </si>
  <si>
    <t>低脂肉片0.6</t>
  </si>
  <si>
    <t>低脂肉絲0.6</t>
  </si>
  <si>
    <t>果凍食材前一天先進</t>
  </si>
  <si>
    <t>布丁冷卻凝固鋪水果</t>
  </si>
  <si>
    <t>小白油麵</t>
  </si>
  <si>
    <t>米漿1L</t>
  </si>
  <si>
    <t>木耳</t>
  </si>
  <si>
    <t>紅豆湯圓牛奶</t>
  </si>
  <si>
    <t>小湯圓</t>
  </si>
  <si>
    <t>芹菜</t>
  </si>
  <si>
    <t>食材</t>
  </si>
  <si>
    <t>刈包夾蔬菜鮪魚蛋</t>
  </si>
  <si>
    <t>吐司夾洋蔥肉片  /水果</t>
  </si>
  <si>
    <t>鮪魚罐小(90g)</t>
  </si>
  <si>
    <t>綠豆麥片牛奶</t>
  </si>
  <si>
    <t>金煌芒果</t>
  </si>
  <si>
    <t>麥片</t>
  </si>
  <si>
    <t>糙米漿家庭號1L)</t>
  </si>
  <si>
    <t>哈密瓜</t>
  </si>
  <si>
    <t>養樂多6罐</t>
  </si>
  <si>
    <t>(水放少以牛奶為主)</t>
  </si>
  <si>
    <t>養樂多9罐</t>
  </si>
  <si>
    <t>統一優酪乳(約1公升)</t>
  </si>
  <si>
    <t>清雞胸肉絲</t>
  </si>
  <si>
    <t>小玉西瓜</t>
  </si>
  <si>
    <t>絲瓜麵線 / 水果</t>
  </si>
  <si>
    <t>香蕉(0.5根/人)</t>
  </si>
  <si>
    <t>玉米肉絲炒飯</t>
  </si>
  <si>
    <t>海鮮炒烏龍麵</t>
  </si>
  <si>
    <t>低脂肉絲(0.5K)</t>
  </si>
  <si>
    <t>魷魚圈cas</t>
  </si>
  <si>
    <t>饅頭蔬菜蛋 / 鮮奶</t>
  </si>
  <si>
    <t>芝麻小饅頭</t>
  </si>
  <si>
    <t>銀魚莧菜麵羹</t>
  </si>
  <si>
    <t>白麵條</t>
  </si>
  <si>
    <t>低糖豆漿(約1公升)</t>
  </si>
  <si>
    <t>吻仔魚粥</t>
  </si>
  <si>
    <t>白米</t>
  </si>
  <si>
    <t>低脂絞肉(1k庫</t>
  </si>
  <si>
    <t>低脂肉絲0.6k</t>
  </si>
  <si>
    <t>水煎包   /   米漿鮮奶</t>
  </si>
  <si>
    <t>水煎包(桂冠)</t>
  </si>
  <si>
    <t>養樂多7罐</t>
  </si>
  <si>
    <t>海鮮炒麵</t>
  </si>
  <si>
    <t>大滷麵</t>
  </si>
  <si>
    <t>低脂肉絲cas0.6</t>
  </si>
  <si>
    <t>中華豆腐</t>
  </si>
  <si>
    <t>大水梨</t>
  </si>
  <si>
    <t>鮮奶(低脂1L</t>
  </si>
  <si>
    <t>鯛魚片</t>
  </si>
  <si>
    <t>瓠瓜魚片粥</t>
  </si>
  <si>
    <t xml:space="preserve"> 僑愛國小幼兒園112年6月點心菜單</t>
  </si>
  <si>
    <t>肉絲湯麵</t>
  </si>
  <si>
    <t>赤肉麵線</t>
  </si>
  <si>
    <t>自製鮮奶布丁(加水果)</t>
  </si>
  <si>
    <t xml:space="preserve"> 養樂多7罐</t>
  </si>
  <si>
    <t xml:space="preserve">雞蛋:牛奶=1顆:120ml 檸檬去腥 </t>
  </si>
  <si>
    <t>刈包夾蔬菜鮪魚蛋</t>
  </si>
  <si>
    <t>什錦炒米苔目</t>
  </si>
  <si>
    <t>什錦炒麵</t>
  </si>
  <si>
    <t>水果拼盤 / 鮮奶</t>
  </si>
  <si>
    <t>綠豆麥片牛奶</t>
  </si>
  <si>
    <t>6/17(六)</t>
  </si>
  <si>
    <t>香菇雞麵線 / 水果</t>
  </si>
  <si>
    <t>清雞片</t>
  </si>
  <si>
    <t>紅棗</t>
  </si>
  <si>
    <r>
      <t>三環麵線</t>
    </r>
    <r>
      <rPr>
        <sz val="12"/>
        <rFont val="Times New Roman"/>
        <family val="1"/>
      </rPr>
      <t>0.6K</t>
    </r>
  </si>
  <si>
    <t>(0.5根/人)</t>
  </si>
  <si>
    <t>紅豆1K</t>
  </si>
  <si>
    <t>紫米0.3K</t>
  </si>
  <si>
    <t>黑糖(450G)</t>
  </si>
  <si>
    <t>(牛奶供應前加)</t>
  </si>
  <si>
    <t>紅豆紫米鮮奶</t>
  </si>
  <si>
    <t>100份</t>
  </si>
  <si>
    <t>洗選蛋(40個)</t>
  </si>
  <si>
    <t>義美蛋餅皮5入</t>
  </si>
  <si>
    <t>洗選蛋(60)</t>
  </si>
  <si>
    <t>洗選蛋(10個)</t>
  </si>
  <si>
    <t>奇美(40入)</t>
  </si>
  <si>
    <t>小蕃茄</t>
  </si>
  <si>
    <t>K</t>
  </si>
  <si>
    <t>洗選蛋(10個)</t>
  </si>
  <si>
    <t>洗選蛋(60個)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</si>
</sst>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##&quot;元/KG&quot;"/>
    <numFmt numFmtId="186" formatCode="mmm\-yyyy"/>
    <numFmt numFmtId="187" formatCode="0.0"/>
    <numFmt numFmtId="188" formatCode="0.0_ "/>
    <numFmt numFmtId="189" formatCode="0.000"/>
    <numFmt numFmtId="190" formatCode="[$-404]AM/PM\ hh:mm:ss"/>
  </numFmts>
  <fonts count="93">
    <font>
      <sz val="12"/>
      <name val="新細明體"/>
      <family val="1"/>
    </font>
    <font>
      <sz val="10"/>
      <name val="Arial"/>
      <family val="2"/>
    </font>
    <font>
      <b/>
      <sz val="18"/>
      <name val="Times New Roman"/>
      <family val="1"/>
    </font>
    <font>
      <sz val="20"/>
      <name val="Times New Roman"/>
      <family val="1"/>
    </font>
    <font>
      <sz val="18"/>
      <color indexed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標楷體"/>
      <family val="4"/>
    </font>
    <font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b/>
      <sz val="14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name val="微軟正黑體"/>
      <family val="2"/>
    </font>
    <font>
      <sz val="12"/>
      <color indexed="12"/>
      <name val="微軟正黑體"/>
      <family val="2"/>
    </font>
    <font>
      <sz val="14"/>
      <name val="微軟正黑體"/>
      <family val="2"/>
    </font>
    <font>
      <sz val="14"/>
      <color indexed="12"/>
      <name val="微軟正黑體"/>
      <family val="2"/>
    </font>
    <font>
      <sz val="12"/>
      <color indexed="8"/>
      <name val="微軟正黑體"/>
      <family val="2"/>
    </font>
    <font>
      <sz val="10"/>
      <name val="微軟正黑體"/>
      <family val="2"/>
    </font>
    <font>
      <sz val="12"/>
      <color indexed="10"/>
      <name val="微軟正黑體"/>
      <family val="2"/>
    </font>
    <font>
      <b/>
      <sz val="18"/>
      <name val="微軟正黑體"/>
      <family val="2"/>
    </font>
    <font>
      <sz val="20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9"/>
      <color indexed="8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b/>
      <sz val="7"/>
      <name val="微軟正黑體"/>
      <family val="2"/>
    </font>
    <font>
      <b/>
      <sz val="12"/>
      <color indexed="10"/>
      <name val="微軟正黑體"/>
      <family val="2"/>
    </font>
    <font>
      <sz val="10"/>
      <color indexed="10"/>
      <name val="微軟正黑體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sz val="14"/>
      <name val="細明體"/>
      <family val="3"/>
    </font>
    <font>
      <sz val="8"/>
      <name val="微軟正黑體"/>
      <family val="2"/>
    </font>
    <font>
      <b/>
      <sz val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2"/>
      <name val="微軟正黑體"/>
      <family val="2"/>
    </font>
    <font>
      <sz val="12"/>
      <color indexed="9"/>
      <name val="微軟正黑體"/>
      <family val="2"/>
    </font>
    <font>
      <b/>
      <sz val="10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微軟正黑體"/>
      <family val="2"/>
    </font>
    <font>
      <sz val="12"/>
      <color theme="1"/>
      <name val="微軟正黑體"/>
      <family val="2"/>
    </font>
    <font>
      <sz val="12"/>
      <color rgb="FFFF0000"/>
      <name val="微軟正黑體"/>
      <family val="2"/>
    </font>
    <font>
      <sz val="10"/>
      <color rgb="FFFF000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2"/>
      <color theme="0"/>
      <name val="微軟正黑體"/>
      <family val="2"/>
    </font>
    <font>
      <b/>
      <sz val="12"/>
      <color rgb="FFFF0000"/>
      <name val="微軟正黑體"/>
      <family val="2"/>
    </font>
    <font>
      <b/>
      <sz val="10"/>
      <color rgb="FFFF0000"/>
      <name val="微軟正黑體"/>
      <family val="2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/>
      <right/>
      <top style="thin">
        <color indexed="63"/>
      </top>
      <bottom style="thin"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/>
      <right style="thin"/>
      <top style="thin">
        <color indexed="59"/>
      </top>
      <bottom style="thin">
        <color indexed="59"/>
      </bottom>
    </border>
    <border>
      <left/>
      <right style="thin"/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/>
      <right style="medium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/>
      <right style="medium"/>
      <top style="medium"/>
      <bottom style="thin">
        <color indexed="59"/>
      </bottom>
    </border>
    <border>
      <left/>
      <right style="thin"/>
      <top style="medium"/>
      <bottom style="thin">
        <color indexed="59"/>
      </bottom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>
        <color indexed="63"/>
      </right>
      <top style="medium"/>
      <bottom/>
    </border>
    <border>
      <left style="thin">
        <color indexed="59"/>
      </left>
      <right style="thin">
        <color indexed="59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medium"/>
      <right style="medium"/>
      <top style="medium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 style="medium"/>
      <top style="thin">
        <color indexed="59"/>
      </top>
      <bottom style="medium"/>
    </border>
    <border>
      <left style="thin">
        <color indexed="59"/>
      </left>
      <right style="medium"/>
      <top style="medium"/>
      <bottom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thin">
        <color indexed="59"/>
      </right>
      <top style="medium"/>
      <bottom/>
    </border>
    <border>
      <left style="thin">
        <color indexed="59"/>
      </left>
      <right style="thin"/>
      <top style="medium"/>
      <bottom/>
    </border>
    <border>
      <left>
        <color indexed="63"/>
      </left>
      <right style="thin">
        <color indexed="59"/>
      </right>
      <top style="medium"/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9" fontId="1" fillId="0" borderId="0" applyFill="0" applyBorder="0" applyAlignment="0" applyProtection="0"/>
    <xf numFmtId="0" fontId="7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0" borderId="3" applyNumberFormat="0" applyFill="0" applyAlignment="0" applyProtection="0"/>
    <xf numFmtId="0" fontId="0" fillId="23" borderId="4" applyNumberFormat="0" applyFont="0" applyAlignment="0" applyProtection="0"/>
    <xf numFmtId="0" fontId="73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2" applyNumberFormat="0" applyAlignment="0" applyProtection="0"/>
    <xf numFmtId="0" fontId="79" fillId="22" borderId="8" applyNumberFormat="0" applyAlignment="0" applyProtection="0"/>
    <xf numFmtId="0" fontId="80" fillId="31" borderId="9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49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3" xfId="46" applyFont="1" applyFill="1" applyBorder="1" applyAlignment="1">
      <alignment horizontal="center" vertical="center"/>
      <protection/>
    </xf>
    <xf numFmtId="0" fontId="22" fillId="33" borderId="1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/>
    </xf>
    <xf numFmtId="0" fontId="22" fillId="33" borderId="13" xfId="42" applyFont="1" applyFill="1" applyBorder="1" applyAlignment="1">
      <alignment horizontal="center" vertical="center"/>
      <protection/>
    </xf>
    <xf numFmtId="0" fontId="22" fillId="0" borderId="13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shrinkToFit="1"/>
    </xf>
    <xf numFmtId="0" fontId="22" fillId="33" borderId="15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0" fontId="22" fillId="33" borderId="13" xfId="39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2" fillId="33" borderId="13" xfId="41" applyFont="1" applyFill="1" applyBorder="1" applyAlignment="1">
      <alignment horizontal="center" vertical="center"/>
      <protection/>
    </xf>
    <xf numFmtId="0" fontId="22" fillId="33" borderId="10" xfId="41" applyFont="1" applyFill="1" applyBorder="1" applyAlignment="1">
      <alignment horizontal="center" vertical="center"/>
      <protection/>
    </xf>
    <xf numFmtId="0" fontId="22" fillId="0" borderId="16" xfId="0" applyFont="1" applyFill="1" applyBorder="1" applyAlignment="1">
      <alignment horizontal="center" vertical="center"/>
    </xf>
    <xf numFmtId="0" fontId="22" fillId="0" borderId="10" xfId="39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2" fillId="0" borderId="13" xfId="41" applyFont="1" applyFill="1" applyBorder="1" applyAlignment="1">
      <alignment horizontal="center" vertical="center"/>
      <protection/>
    </xf>
    <xf numFmtId="0" fontId="84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19" fillId="0" borderId="19" xfId="0" applyNumberFormat="1" applyFont="1" applyBorder="1" applyAlignment="1">
      <alignment vertical="center"/>
    </xf>
    <xf numFmtId="177" fontId="21" fillId="0" borderId="18" xfId="0" applyNumberFormat="1" applyFont="1" applyBorder="1" applyAlignment="1">
      <alignment vertical="center"/>
    </xf>
    <xf numFmtId="177" fontId="19" fillId="0" borderId="18" xfId="0" applyNumberFormat="1" applyFont="1" applyBorder="1" applyAlignment="1">
      <alignment vertical="center"/>
    </xf>
    <xf numFmtId="178" fontId="21" fillId="0" borderId="18" xfId="0" applyNumberFormat="1" applyFont="1" applyBorder="1" applyAlignment="1">
      <alignment vertical="center"/>
    </xf>
    <xf numFmtId="178" fontId="19" fillId="0" borderId="18" xfId="0" applyNumberFormat="1" applyFont="1" applyBorder="1" applyAlignment="1">
      <alignment vertical="center"/>
    </xf>
    <xf numFmtId="179" fontId="21" fillId="0" borderId="18" xfId="0" applyNumberFormat="1" applyFont="1" applyBorder="1" applyAlignment="1">
      <alignment vertical="center"/>
    </xf>
    <xf numFmtId="179" fontId="19" fillId="0" borderId="18" xfId="0" applyNumberFormat="1" applyFont="1" applyBorder="1" applyAlignment="1">
      <alignment vertical="center"/>
    </xf>
    <xf numFmtId="180" fontId="21" fillId="0" borderId="10" xfId="0" applyNumberFormat="1" applyFont="1" applyBorder="1" applyAlignment="1">
      <alignment vertical="center"/>
    </xf>
    <xf numFmtId="180" fontId="19" fillId="0" borderId="14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7" borderId="10" xfId="0" applyFont="1" applyFill="1" applyBorder="1" applyAlignment="1">
      <alignment vertical="center"/>
    </xf>
    <xf numFmtId="0" fontId="22" fillId="7" borderId="11" xfId="0" applyFont="1" applyFill="1" applyBorder="1" applyAlignment="1">
      <alignment vertical="center"/>
    </xf>
    <xf numFmtId="0" fontId="22" fillId="7" borderId="10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84" fillId="34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22" fillId="0" borderId="13" xfId="41" applyFont="1" applyBorder="1" applyAlignment="1">
      <alignment horizontal="center" vertical="center"/>
      <protection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3" xfId="42" applyFont="1" applyBorder="1" applyAlignment="1">
      <alignment horizontal="center" vertical="center"/>
      <protection/>
    </xf>
    <xf numFmtId="0" fontId="83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34" borderId="10" xfId="39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4" fillId="6" borderId="25" xfId="38" applyFont="1" applyFill="1" applyBorder="1" applyAlignment="1">
      <alignment horizontal="center" vertical="center"/>
      <protection/>
    </xf>
    <xf numFmtId="187" fontId="19" fillId="0" borderId="0" xfId="0" applyNumberFormat="1" applyFont="1" applyAlignment="1">
      <alignment horizontal="center" vertical="center"/>
    </xf>
    <xf numFmtId="0" fontId="34" fillId="6" borderId="26" xfId="38" applyFont="1" applyFill="1" applyBorder="1" applyAlignment="1">
      <alignment horizontal="center" vertical="center"/>
      <protection/>
    </xf>
    <xf numFmtId="0" fontId="87" fillId="6" borderId="27" xfId="0" applyFont="1" applyFill="1" applyBorder="1" applyAlignment="1">
      <alignment horizontal="center" vertical="center"/>
    </xf>
    <xf numFmtId="0" fontId="87" fillId="6" borderId="28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35" fillId="6" borderId="26" xfId="38" applyFont="1" applyFill="1" applyBorder="1" applyAlignment="1">
      <alignment horizontal="center" vertical="center"/>
      <protection/>
    </xf>
    <xf numFmtId="0" fontId="36" fillId="6" borderId="26" xfId="38" applyFont="1" applyFill="1" applyBorder="1" applyAlignment="1">
      <alignment horizontal="center" vertical="center"/>
      <protection/>
    </xf>
    <xf numFmtId="0" fontId="88" fillId="6" borderId="28" xfId="38" applyFont="1" applyFill="1" applyBorder="1" applyAlignment="1">
      <alignment horizontal="center" vertical="center"/>
      <protection/>
    </xf>
    <xf numFmtId="0" fontId="35" fillId="6" borderId="31" xfId="38" applyFont="1" applyFill="1" applyBorder="1" applyAlignment="1">
      <alignment horizontal="center" vertical="center"/>
      <protection/>
    </xf>
    <xf numFmtId="0" fontId="87" fillId="6" borderId="32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87" fillId="6" borderId="34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21" fillId="6" borderId="33" xfId="0" applyFont="1" applyFill="1" applyBorder="1" applyAlignment="1">
      <alignment horizontal="center" vertical="center"/>
    </xf>
    <xf numFmtId="0" fontId="87" fillId="0" borderId="3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43" applyFont="1" applyAlignment="1">
      <alignment horizontal="center" vertical="center" wrapText="1"/>
      <protection/>
    </xf>
    <xf numFmtId="0" fontId="27" fillId="0" borderId="0" xfId="43" applyFont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181" fontId="22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7" borderId="10" xfId="0" applyFont="1" applyFill="1" applyBorder="1" applyAlignment="1">
      <alignment vertical="center"/>
    </xf>
    <xf numFmtId="0" fontId="22" fillId="7" borderId="11" xfId="0" applyFont="1" applyFill="1" applyBorder="1" applyAlignment="1">
      <alignment vertical="center"/>
    </xf>
    <xf numFmtId="0" fontId="22" fillId="7" borderId="10" xfId="0" applyFont="1" applyFill="1" applyBorder="1" applyAlignment="1">
      <alignment vertical="center"/>
    </xf>
    <xf numFmtId="0" fontId="26" fillId="33" borderId="18" xfId="0" applyFont="1" applyFill="1" applyBorder="1" applyAlignment="1">
      <alignment horizontal="center" vertical="center"/>
    </xf>
    <xf numFmtId="0" fontId="27" fillId="0" borderId="10" xfId="41" applyFont="1" applyFill="1" applyBorder="1" applyAlignment="1">
      <alignment horizontal="center" vertical="center"/>
      <protection/>
    </xf>
    <xf numFmtId="0" fontId="22" fillId="0" borderId="10" xfId="41" applyFont="1" applyFill="1" applyBorder="1" applyAlignment="1">
      <alignment horizontal="center" vertical="center"/>
      <protection/>
    </xf>
    <xf numFmtId="0" fontId="84" fillId="33" borderId="13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6" fillId="33" borderId="40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84" fillId="33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37" fillId="33" borderId="39" xfId="0" applyFont="1" applyFill="1" applyBorder="1" applyAlignment="1">
      <alignment horizontal="center" vertical="center" wrapText="1"/>
    </xf>
    <xf numFmtId="187" fontId="19" fillId="0" borderId="0" xfId="0" applyNumberFormat="1" applyFont="1" applyFill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87" fillId="0" borderId="33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89" fillId="7" borderId="10" xfId="0" applyFont="1" applyFill="1" applyBorder="1" applyAlignment="1">
      <alignment vertical="center"/>
    </xf>
    <xf numFmtId="0" fontId="89" fillId="0" borderId="10" xfId="0" applyFont="1" applyBorder="1" applyAlignment="1">
      <alignment vertical="center"/>
    </xf>
    <xf numFmtId="0" fontId="22" fillId="0" borderId="42" xfId="0" applyFont="1" applyBorder="1" applyAlignment="1">
      <alignment horizontal="center" vertical="center" shrinkToFit="1"/>
    </xf>
    <xf numFmtId="0" fontId="26" fillId="0" borderId="43" xfId="0" applyFont="1" applyBorder="1" applyAlignment="1">
      <alignment horizontal="center" vertical="center"/>
    </xf>
    <xf numFmtId="0" fontId="22" fillId="9" borderId="10" xfId="39" applyFont="1" applyFill="1" applyBorder="1" applyAlignment="1">
      <alignment horizontal="center" vertical="center"/>
      <protection/>
    </xf>
    <xf numFmtId="0" fontId="22" fillId="9" borderId="10" xfId="0" applyFont="1" applyFill="1" applyBorder="1" applyAlignment="1">
      <alignment horizontal="center" vertical="center"/>
    </xf>
    <xf numFmtId="0" fontId="22" fillId="33" borderId="10" xfId="47" applyFont="1" applyFill="1" applyBorder="1" applyAlignment="1">
      <alignment horizontal="center" vertical="center"/>
      <protection/>
    </xf>
    <xf numFmtId="0" fontId="22" fillId="0" borderId="13" xfId="39" applyFont="1" applyBorder="1" applyAlignment="1">
      <alignment horizontal="center" vertical="center"/>
      <protection/>
    </xf>
    <xf numFmtId="0" fontId="85" fillId="33" borderId="10" xfId="0" applyFont="1" applyFill="1" applyBorder="1" applyAlignment="1">
      <alignment horizontal="center" vertical="center"/>
    </xf>
    <xf numFmtId="0" fontId="85" fillId="33" borderId="14" xfId="0" applyFont="1" applyFill="1" applyBorder="1" applyAlignment="1">
      <alignment horizontal="center" vertical="center"/>
    </xf>
    <xf numFmtId="0" fontId="22" fillId="0" borderId="10" xfId="47" applyFont="1" applyBorder="1" applyAlignment="1">
      <alignment horizontal="center" vertical="center"/>
      <protection/>
    </xf>
    <xf numFmtId="0" fontId="23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2" fillId="0" borderId="22" xfId="47" applyFont="1" applyBorder="1" applyAlignment="1">
      <alignment horizontal="center" vertical="center"/>
      <protection/>
    </xf>
    <xf numFmtId="0" fontId="23" fillId="33" borderId="22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33" borderId="22" xfId="0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 vertical="center"/>
    </xf>
    <xf numFmtId="0" fontId="22" fillId="33" borderId="22" xfId="47" applyFont="1" applyFill="1" applyBorder="1" applyAlignment="1">
      <alignment horizontal="center" vertical="center"/>
      <protection/>
    </xf>
    <xf numFmtId="0" fontId="22" fillId="0" borderId="23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 shrinkToFit="1"/>
    </xf>
    <xf numFmtId="0" fontId="27" fillId="33" borderId="4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0" xfId="46" applyFont="1" applyAlignment="1">
      <alignment horizontal="center" vertical="center" wrapText="1"/>
      <protection/>
    </xf>
    <xf numFmtId="0" fontId="27" fillId="0" borderId="0" xfId="46" applyFont="1" applyAlignment="1">
      <alignment horizontal="center" vertical="center" wrapText="1"/>
      <protection/>
    </xf>
    <xf numFmtId="0" fontId="22" fillId="33" borderId="2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87" fontId="26" fillId="0" borderId="10" xfId="0" applyNumberFormat="1" applyFont="1" applyFill="1" applyBorder="1" applyAlignment="1">
      <alignment horizontal="center" vertical="center"/>
    </xf>
    <xf numFmtId="0" fontId="34" fillId="33" borderId="13" xfId="39" applyFont="1" applyFill="1" applyBorder="1" applyAlignment="1">
      <alignment horizontal="center" vertical="center"/>
      <protection/>
    </xf>
    <xf numFmtId="0" fontId="15" fillId="0" borderId="13" xfId="39" applyFont="1" applyFill="1" applyBorder="1" applyAlignment="1">
      <alignment horizontal="center" vertical="center"/>
      <protection/>
    </xf>
    <xf numFmtId="0" fontId="19" fillId="33" borderId="10" xfId="0" applyFont="1" applyFill="1" applyBorder="1" applyAlignment="1">
      <alignment horizontal="center" vertical="center"/>
    </xf>
    <xf numFmtId="0" fontId="87" fillId="6" borderId="0" xfId="0" applyFont="1" applyFill="1" applyBorder="1" applyAlignment="1">
      <alignment horizontal="center" vertical="center"/>
    </xf>
    <xf numFmtId="0" fontId="87" fillId="6" borderId="33" xfId="0" applyFont="1" applyFill="1" applyBorder="1" applyAlignment="1">
      <alignment horizontal="center" vertical="center"/>
    </xf>
    <xf numFmtId="0" fontId="22" fillId="33" borderId="10" xfId="46" applyFont="1" applyFill="1" applyBorder="1" applyAlignment="1">
      <alignment horizontal="center" vertical="center"/>
      <protection/>
    </xf>
    <xf numFmtId="0" fontId="34" fillId="33" borderId="10" xfId="41" applyFont="1" applyFill="1" applyBorder="1" applyAlignment="1">
      <alignment horizontal="center" vertical="center"/>
      <protection/>
    </xf>
    <xf numFmtId="0" fontId="22" fillId="33" borderId="16" xfId="0" applyFont="1" applyFill="1" applyBorder="1" applyAlignment="1">
      <alignment horizontal="center" vertical="center"/>
    </xf>
    <xf numFmtId="0" fontId="22" fillId="33" borderId="10" xfId="39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84" fillId="33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 shrinkToFit="1"/>
    </xf>
    <xf numFmtId="0" fontId="26" fillId="0" borderId="43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0" fontId="85" fillId="33" borderId="45" xfId="0" applyFont="1" applyFill="1" applyBorder="1" applyAlignment="1">
      <alignment horizontal="center" vertical="center"/>
    </xf>
    <xf numFmtId="0" fontId="85" fillId="33" borderId="37" xfId="0" applyFont="1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37" xfId="0" applyFont="1" applyFill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0" fontId="19" fillId="6" borderId="48" xfId="0" applyFont="1" applyFill="1" applyBorder="1" applyAlignment="1">
      <alignment horizontal="center" vertical="center"/>
    </xf>
    <xf numFmtId="0" fontId="26" fillId="33" borderId="49" xfId="0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center" vertical="center"/>
    </xf>
    <xf numFmtId="0" fontId="26" fillId="33" borderId="13" xfId="41" applyFont="1" applyFill="1" applyBorder="1" applyAlignment="1">
      <alignment horizontal="center" vertical="center"/>
      <protection/>
    </xf>
    <xf numFmtId="0" fontId="26" fillId="33" borderId="11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34" fillId="33" borderId="13" xfId="41" applyFont="1" applyFill="1" applyBorder="1" applyAlignment="1">
      <alignment horizontal="center" vertical="center"/>
      <protection/>
    </xf>
    <xf numFmtId="0" fontId="85" fillId="33" borderId="50" xfId="0" applyFont="1" applyFill="1" applyBorder="1" applyAlignment="1">
      <alignment vertical="center" wrapText="1"/>
    </xf>
    <xf numFmtId="0" fontId="85" fillId="33" borderId="42" xfId="0" applyFont="1" applyFill="1" applyBorder="1" applyAlignment="1">
      <alignment vertical="center" wrapText="1"/>
    </xf>
    <xf numFmtId="0" fontId="85" fillId="33" borderId="51" xfId="0" applyFont="1" applyFill="1" applyBorder="1" applyAlignment="1">
      <alignment vertical="center" wrapText="1"/>
    </xf>
    <xf numFmtId="0" fontId="33" fillId="33" borderId="22" xfId="0" applyFont="1" applyFill="1" applyBorder="1" applyAlignment="1">
      <alignment horizontal="center" vertical="center"/>
    </xf>
    <xf numFmtId="0" fontId="23" fillId="7" borderId="44" xfId="0" applyFont="1" applyFill="1" applyBorder="1" applyAlignment="1">
      <alignment vertical="center"/>
    </xf>
    <xf numFmtId="0" fontId="23" fillId="0" borderId="5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34" borderId="53" xfId="0" applyFont="1" applyFill="1" applyBorder="1" applyAlignment="1">
      <alignment vertical="center"/>
    </xf>
    <xf numFmtId="0" fontId="22" fillId="34" borderId="54" xfId="0" applyFont="1" applyFill="1" applyBorder="1" applyAlignment="1">
      <alignment horizontal="center" vertical="center"/>
    </xf>
    <xf numFmtId="0" fontId="22" fillId="34" borderId="55" xfId="0" applyFont="1" applyFill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183" fontId="19" fillId="0" borderId="57" xfId="0" applyNumberFormat="1" applyFont="1" applyBorder="1" applyAlignment="1">
      <alignment horizontal="center" vertical="center" wrapText="1"/>
    </xf>
    <xf numFmtId="183" fontId="19" fillId="0" borderId="58" xfId="0" applyNumberFormat="1" applyFont="1" applyBorder="1" applyAlignment="1">
      <alignment horizontal="center" vertical="center" wrapText="1"/>
    </xf>
    <xf numFmtId="0" fontId="22" fillId="3" borderId="56" xfId="0" applyFont="1" applyFill="1" applyBorder="1" applyAlignment="1">
      <alignment vertical="center" wrapText="1"/>
    </xf>
    <xf numFmtId="0" fontId="22" fillId="3" borderId="57" xfId="0" applyFont="1" applyFill="1" applyBorder="1" applyAlignment="1">
      <alignment vertical="center" wrapText="1"/>
    </xf>
    <xf numFmtId="0" fontId="22" fillId="3" borderId="58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6" borderId="56" xfId="0" applyFont="1" applyFill="1" applyBorder="1" applyAlignment="1">
      <alignment vertical="center" wrapText="1"/>
    </xf>
    <xf numFmtId="0" fontId="22" fillId="6" borderId="57" xfId="0" applyFont="1" applyFill="1" applyBorder="1" applyAlignment="1">
      <alignment vertical="center" wrapText="1"/>
    </xf>
    <xf numFmtId="0" fontId="22" fillId="6" borderId="58" xfId="0" applyFont="1" applyFill="1" applyBorder="1" applyAlignment="1">
      <alignment vertical="center" wrapText="1"/>
    </xf>
    <xf numFmtId="0" fontId="22" fillId="6" borderId="59" xfId="0" applyFont="1" applyFill="1" applyBorder="1" applyAlignment="1">
      <alignment vertical="center" wrapText="1"/>
    </xf>
    <xf numFmtId="0" fontId="22" fillId="6" borderId="60" xfId="0" applyFont="1" applyFill="1" applyBorder="1" applyAlignment="1">
      <alignment vertical="center" wrapText="1"/>
    </xf>
    <xf numFmtId="0" fontId="22" fillId="6" borderId="61" xfId="0" applyFont="1" applyFill="1" applyBorder="1" applyAlignment="1">
      <alignment vertical="center" wrapText="1"/>
    </xf>
    <xf numFmtId="0" fontId="22" fillId="0" borderId="62" xfId="0" applyFont="1" applyBorder="1" applyAlignment="1">
      <alignment vertical="center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23" fillId="33" borderId="44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vertical="center"/>
    </xf>
    <xf numFmtId="0" fontId="23" fillId="33" borderId="52" xfId="0" applyFont="1" applyFill="1" applyBorder="1" applyAlignment="1">
      <alignment horizontal="center" vertical="center"/>
    </xf>
    <xf numFmtId="0" fontId="22" fillId="7" borderId="56" xfId="0" applyFont="1" applyFill="1" applyBorder="1" applyAlignment="1">
      <alignment vertical="center" wrapText="1"/>
    </xf>
    <xf numFmtId="0" fontId="22" fillId="7" borderId="57" xfId="0" applyFont="1" applyFill="1" applyBorder="1" applyAlignment="1">
      <alignment vertical="center" wrapText="1"/>
    </xf>
    <xf numFmtId="0" fontId="22" fillId="7" borderId="58" xfId="0" applyFont="1" applyFill="1" applyBorder="1" applyAlignment="1">
      <alignment vertical="center" wrapText="1"/>
    </xf>
    <xf numFmtId="0" fontId="23" fillId="0" borderId="44" xfId="0" applyFont="1" applyFill="1" applyBorder="1" applyAlignment="1">
      <alignment horizontal="center" vertical="center"/>
    </xf>
    <xf numFmtId="0" fontId="23" fillId="7" borderId="44" xfId="0" applyFont="1" applyFill="1" applyBorder="1" applyAlignment="1">
      <alignment vertical="center"/>
    </xf>
    <xf numFmtId="0" fontId="23" fillId="0" borderId="5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85" fillId="33" borderId="50" xfId="39" applyFont="1" applyFill="1" applyBorder="1" applyAlignment="1">
      <alignment horizontal="center" vertical="center"/>
      <protection/>
    </xf>
    <xf numFmtId="0" fontId="85" fillId="0" borderId="10" xfId="39" applyFont="1" applyBorder="1" applyAlignment="1">
      <alignment horizontal="center" vertical="center"/>
      <protection/>
    </xf>
    <xf numFmtId="0" fontId="19" fillId="6" borderId="0" xfId="0" applyFont="1" applyFill="1" applyAlignment="1">
      <alignment horizontal="center" vertical="center"/>
    </xf>
    <xf numFmtId="0" fontId="87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90" fillId="0" borderId="50" xfId="0" applyFont="1" applyFill="1" applyBorder="1" applyAlignment="1">
      <alignment vertical="center"/>
    </xf>
    <xf numFmtId="0" fontId="90" fillId="0" borderId="42" xfId="0" applyFont="1" applyFill="1" applyBorder="1" applyAlignment="1">
      <alignment vertical="center"/>
    </xf>
    <xf numFmtId="0" fontId="90" fillId="0" borderId="51" xfId="0" applyFont="1" applyFill="1" applyBorder="1" applyAlignment="1">
      <alignment vertical="center"/>
    </xf>
    <xf numFmtId="0" fontId="86" fillId="33" borderId="13" xfId="0" applyFont="1" applyFill="1" applyBorder="1" applyAlignment="1">
      <alignment horizontal="center" vertical="center"/>
    </xf>
    <xf numFmtId="0" fontId="86" fillId="33" borderId="28" xfId="41" applyFont="1" applyFill="1" applyBorder="1" applyAlignment="1">
      <alignment vertical="center"/>
      <protection/>
    </xf>
    <xf numFmtId="0" fontId="39" fillId="33" borderId="0" xfId="41" applyFont="1" applyFill="1" applyBorder="1" applyAlignment="1">
      <alignment vertical="center"/>
      <protection/>
    </xf>
    <xf numFmtId="0" fontId="90" fillId="33" borderId="0" xfId="0" applyFont="1" applyFill="1" applyBorder="1" applyAlignment="1">
      <alignment horizontal="left" vertical="center" wrapText="1"/>
    </xf>
    <xf numFmtId="0" fontId="23" fillId="0" borderId="65" xfId="0" applyFont="1" applyFill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0" xfId="41" applyFont="1" applyBorder="1" applyAlignment="1">
      <alignment horizontal="center" vertical="center"/>
      <protection/>
    </xf>
    <xf numFmtId="0" fontId="89" fillId="0" borderId="16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34" fillId="6" borderId="66" xfId="38" applyFont="1" applyFill="1" applyBorder="1" applyAlignment="1">
      <alignment horizontal="center" vertical="center"/>
      <protection/>
    </xf>
    <xf numFmtId="0" fontId="34" fillId="6" borderId="67" xfId="38" applyFont="1" applyFill="1" applyBorder="1" applyAlignment="1">
      <alignment horizontal="center" vertical="center"/>
      <protection/>
    </xf>
    <xf numFmtId="0" fontId="35" fillId="6" borderId="67" xfId="38" applyFont="1" applyFill="1" applyBorder="1" applyAlignment="1">
      <alignment horizontal="center" vertical="center"/>
      <protection/>
    </xf>
    <xf numFmtId="0" fontId="36" fillId="6" borderId="67" xfId="38" applyFont="1" applyFill="1" applyBorder="1" applyAlignment="1">
      <alignment horizontal="center" vertical="center"/>
      <protection/>
    </xf>
    <xf numFmtId="0" fontId="35" fillId="6" borderId="68" xfId="38" applyFont="1" applyFill="1" applyBorder="1" applyAlignment="1">
      <alignment horizontal="center" vertical="center"/>
      <protection/>
    </xf>
    <xf numFmtId="0" fontId="19" fillId="6" borderId="67" xfId="0" applyFont="1" applyFill="1" applyBorder="1" applyAlignment="1">
      <alignment horizontal="center" vertical="center"/>
    </xf>
    <xf numFmtId="0" fontId="19" fillId="6" borderId="69" xfId="0" applyFont="1" applyFill="1" applyBorder="1" applyAlignment="1">
      <alignment horizontal="center" vertical="center"/>
    </xf>
    <xf numFmtId="0" fontId="85" fillId="0" borderId="28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47" xfId="0" applyFont="1" applyBorder="1" applyAlignment="1">
      <alignment horizontal="center" vertical="center"/>
    </xf>
    <xf numFmtId="0" fontId="22" fillId="0" borderId="28" xfId="41" applyFont="1" applyBorder="1" applyAlignment="1">
      <alignment horizontal="center" vertical="center"/>
      <protection/>
    </xf>
    <xf numFmtId="0" fontId="22" fillId="0" borderId="0" xfId="41" applyFont="1" applyAlignment="1">
      <alignment horizontal="center" vertical="center"/>
      <protection/>
    </xf>
    <xf numFmtId="0" fontId="22" fillId="0" borderId="47" xfId="41" applyFont="1" applyBorder="1" applyAlignment="1">
      <alignment horizontal="center" vertical="center"/>
      <protection/>
    </xf>
    <xf numFmtId="182" fontId="22" fillId="0" borderId="0" xfId="0" applyNumberFormat="1" applyFont="1" applyAlignment="1">
      <alignment horizontal="left" vertical="center"/>
    </xf>
    <xf numFmtId="0" fontId="19" fillId="6" borderId="68" xfId="0" applyFont="1" applyFill="1" applyBorder="1" applyAlignment="1">
      <alignment horizontal="center" vertical="center"/>
    </xf>
    <xf numFmtId="0" fontId="19" fillId="6" borderId="70" xfId="0" applyFont="1" applyFill="1" applyBorder="1" applyAlignment="1">
      <alignment horizontal="center" vertical="center"/>
    </xf>
    <xf numFmtId="0" fontId="19" fillId="6" borderId="7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6" borderId="72" xfId="0" applyFont="1" applyFill="1" applyBorder="1" applyAlignment="1">
      <alignment horizontal="center" vertical="center"/>
    </xf>
    <xf numFmtId="0" fontId="22" fillId="6" borderId="73" xfId="0" applyFont="1" applyFill="1" applyBorder="1" applyAlignment="1">
      <alignment horizontal="center" vertical="center" wrapText="1"/>
    </xf>
    <xf numFmtId="0" fontId="22" fillId="6" borderId="74" xfId="0" applyFont="1" applyFill="1" applyBorder="1" applyAlignment="1">
      <alignment horizontal="center" vertical="center" wrapText="1"/>
    </xf>
    <xf numFmtId="0" fontId="22" fillId="6" borderId="75" xfId="0" applyFont="1" applyFill="1" applyBorder="1" applyAlignment="1">
      <alignment horizontal="center" vertical="center" wrapText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19" fillId="6" borderId="66" xfId="0" applyFont="1" applyFill="1" applyBorder="1" applyAlignment="1">
      <alignment horizontal="center" vertical="center"/>
    </xf>
    <xf numFmtId="0" fontId="19" fillId="6" borderId="79" xfId="0" applyFont="1" applyFill="1" applyBorder="1" applyAlignment="1">
      <alignment horizontal="center" vertical="center"/>
    </xf>
    <xf numFmtId="0" fontId="19" fillId="6" borderId="80" xfId="0" applyFont="1" applyFill="1" applyBorder="1" applyAlignment="1">
      <alignment horizontal="center" vertical="center"/>
    </xf>
    <xf numFmtId="0" fontId="21" fillId="6" borderId="81" xfId="0" applyFont="1" applyFill="1" applyBorder="1" applyAlignment="1">
      <alignment horizontal="center" vertical="center"/>
    </xf>
    <xf numFmtId="0" fontId="21" fillId="6" borderId="82" xfId="0" applyFont="1" applyFill="1" applyBorder="1" applyAlignment="1">
      <alignment horizontal="center" vertical="center"/>
    </xf>
    <xf numFmtId="0" fontId="21" fillId="6" borderId="83" xfId="0" applyFont="1" applyFill="1" applyBorder="1" applyAlignment="1">
      <alignment horizontal="center" vertical="center"/>
    </xf>
    <xf numFmtId="0" fontId="22" fillId="7" borderId="57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22" fillId="33" borderId="84" xfId="0" applyFont="1" applyFill="1" applyBorder="1" applyAlignment="1">
      <alignment horizontal="center" vertical="center" wrapText="1"/>
    </xf>
    <xf numFmtId="0" fontId="22" fillId="33" borderId="85" xfId="0" applyFont="1" applyFill="1" applyBorder="1" applyAlignment="1">
      <alignment horizontal="center" vertical="center" wrapText="1"/>
    </xf>
    <xf numFmtId="0" fontId="22" fillId="0" borderId="86" xfId="43" applyFont="1" applyBorder="1" applyAlignment="1">
      <alignment horizontal="center" vertical="center" wrapText="1"/>
      <protection/>
    </xf>
    <xf numFmtId="0" fontId="22" fillId="0" borderId="87" xfId="43" applyFont="1" applyBorder="1" applyAlignment="1">
      <alignment horizontal="center" vertical="center" wrapText="1"/>
      <protection/>
    </xf>
    <xf numFmtId="0" fontId="22" fillId="0" borderId="88" xfId="43" applyFont="1" applyBorder="1" applyAlignment="1">
      <alignment horizontal="center" vertical="center" wrapText="1"/>
      <protection/>
    </xf>
    <xf numFmtId="0" fontId="22" fillId="0" borderId="84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2" fillId="0" borderId="57" xfId="43" applyFont="1" applyBorder="1" applyAlignment="1">
      <alignment horizontal="center" vertical="center" wrapText="1"/>
      <protection/>
    </xf>
    <xf numFmtId="0" fontId="22" fillId="0" borderId="84" xfId="43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left" vertical="center"/>
    </xf>
    <xf numFmtId="0" fontId="85" fillId="33" borderId="89" xfId="0" applyFont="1" applyFill="1" applyBorder="1" applyAlignment="1">
      <alignment horizontal="center" vertical="center" wrapText="1"/>
    </xf>
    <xf numFmtId="0" fontId="85" fillId="33" borderId="90" xfId="0" applyFont="1" applyFill="1" applyBorder="1" applyAlignment="1">
      <alignment horizontal="center" vertical="center" wrapText="1"/>
    </xf>
    <xf numFmtId="0" fontId="85" fillId="33" borderId="91" xfId="0" applyFont="1" applyFill="1" applyBorder="1" applyAlignment="1">
      <alignment horizontal="center" vertical="center" wrapText="1"/>
    </xf>
    <xf numFmtId="0" fontId="85" fillId="0" borderId="84" xfId="43" applyFont="1" applyBorder="1" applyAlignment="1">
      <alignment horizontal="center" vertical="center" wrapText="1"/>
      <protection/>
    </xf>
    <xf numFmtId="0" fontId="85" fillId="0" borderId="85" xfId="43" applyFont="1" applyBorder="1" applyAlignment="1">
      <alignment horizontal="center" vertical="center" wrapText="1"/>
      <protection/>
    </xf>
    <xf numFmtId="0" fontId="19" fillId="33" borderId="92" xfId="0" applyFont="1" applyFill="1" applyBorder="1" applyAlignment="1">
      <alignment horizontal="center" vertical="center" textRotation="255"/>
    </xf>
    <xf numFmtId="0" fontId="19" fillId="33" borderId="65" xfId="0" applyFont="1" applyFill="1" applyBorder="1" applyAlignment="1">
      <alignment horizontal="center" vertical="center" textRotation="255"/>
    </xf>
    <xf numFmtId="176" fontId="19" fillId="33" borderId="93" xfId="0" applyNumberFormat="1" applyFont="1" applyFill="1" applyBorder="1" applyAlignment="1">
      <alignment horizontal="center" vertical="center"/>
    </xf>
    <xf numFmtId="177" fontId="19" fillId="0" borderId="93" xfId="0" applyNumberFormat="1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 textRotation="255"/>
    </xf>
    <xf numFmtId="0" fontId="19" fillId="0" borderId="12" xfId="0" applyFont="1" applyBorder="1" applyAlignment="1">
      <alignment horizontal="center" vertical="center" textRotation="255"/>
    </xf>
    <xf numFmtId="0" fontId="22" fillId="33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textRotation="255"/>
    </xf>
    <xf numFmtId="0" fontId="19" fillId="0" borderId="11" xfId="0" applyFont="1" applyBorder="1" applyAlignment="1">
      <alignment horizontal="center" vertical="center" textRotation="255"/>
    </xf>
    <xf numFmtId="179" fontId="19" fillId="0" borderId="93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right" vertical="center" indent="1"/>
    </xf>
    <xf numFmtId="0" fontId="22" fillId="7" borderId="94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178" fontId="19" fillId="0" borderId="93" xfId="0" applyNumberFormat="1" applyFont="1" applyBorder="1" applyAlignment="1">
      <alignment horizontal="center" vertical="center"/>
    </xf>
    <xf numFmtId="0" fontId="22" fillId="7" borderId="89" xfId="0" applyFont="1" applyFill="1" applyBorder="1" applyAlignment="1">
      <alignment horizontal="center" vertical="center" wrapText="1"/>
    </xf>
    <xf numFmtId="0" fontId="22" fillId="7" borderId="95" xfId="0" applyFont="1" applyFill="1" applyBorder="1" applyAlignment="1">
      <alignment horizontal="center" vertical="center" wrapText="1"/>
    </xf>
    <xf numFmtId="180" fontId="19" fillId="0" borderId="93" xfId="0" applyNumberFormat="1" applyFont="1" applyBorder="1" applyAlignment="1">
      <alignment horizontal="center" vertical="center"/>
    </xf>
    <xf numFmtId="180" fontId="19" fillId="0" borderId="96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4" fillId="0" borderId="63" xfId="43" applyFont="1" applyBorder="1" applyAlignment="1">
      <alignment horizontal="center" vertical="center" wrapText="1"/>
      <protection/>
    </xf>
    <xf numFmtId="0" fontId="84" fillId="0" borderId="57" xfId="43" applyFont="1" applyBorder="1" applyAlignment="1">
      <alignment horizontal="center" vertical="center" wrapText="1"/>
      <protection/>
    </xf>
    <xf numFmtId="0" fontId="84" fillId="0" borderId="84" xfId="43" applyFont="1" applyBorder="1" applyAlignment="1">
      <alignment horizontal="center" vertical="center" wrapText="1"/>
      <protection/>
    </xf>
    <xf numFmtId="0" fontId="22" fillId="0" borderId="63" xfId="0" applyFont="1" applyBorder="1" applyAlignment="1">
      <alignment horizontal="center" vertical="center" wrapText="1"/>
    </xf>
    <xf numFmtId="0" fontId="22" fillId="7" borderId="97" xfId="0" applyFont="1" applyFill="1" applyBorder="1" applyAlignment="1">
      <alignment horizontal="center" vertical="center" wrapText="1"/>
    </xf>
    <xf numFmtId="0" fontId="22" fillId="7" borderId="98" xfId="0" applyFont="1" applyFill="1" applyBorder="1" applyAlignment="1">
      <alignment horizontal="center" vertical="center" wrapText="1"/>
    </xf>
    <xf numFmtId="0" fontId="84" fillId="0" borderId="85" xfId="43" applyFont="1" applyBorder="1" applyAlignment="1">
      <alignment horizontal="center" vertical="center" wrapText="1"/>
      <protection/>
    </xf>
    <xf numFmtId="0" fontId="84" fillId="0" borderId="99" xfId="43" applyFont="1" applyBorder="1" applyAlignment="1">
      <alignment horizontal="center" vertical="center" wrapText="1"/>
      <protection/>
    </xf>
    <xf numFmtId="0" fontId="22" fillId="7" borderId="90" xfId="0" applyFont="1" applyFill="1" applyBorder="1" applyAlignment="1">
      <alignment horizontal="center" vertical="center" wrapText="1"/>
    </xf>
    <xf numFmtId="0" fontId="22" fillId="33" borderId="99" xfId="0" applyFont="1" applyFill="1" applyBorder="1" applyAlignment="1">
      <alignment horizontal="center" vertical="center" wrapText="1"/>
    </xf>
    <xf numFmtId="0" fontId="22" fillId="0" borderId="85" xfId="43" applyFont="1" applyBorder="1" applyAlignment="1">
      <alignment horizontal="center" vertical="center" wrapText="1"/>
      <protection/>
    </xf>
    <xf numFmtId="0" fontId="22" fillId="0" borderId="63" xfId="43" applyFont="1" applyBorder="1" applyAlignment="1">
      <alignment horizontal="center" vertical="center" wrapText="1"/>
      <protection/>
    </xf>
    <xf numFmtId="0" fontId="22" fillId="0" borderId="50" xfId="42" applyFont="1" applyBorder="1" applyAlignment="1">
      <alignment horizontal="center" vertical="center"/>
      <protection/>
    </xf>
    <xf numFmtId="0" fontId="22" fillId="0" borderId="42" xfId="42" applyFont="1" applyBorder="1" applyAlignment="1">
      <alignment horizontal="center" vertical="center"/>
      <protection/>
    </xf>
    <xf numFmtId="0" fontId="22" fillId="0" borderId="100" xfId="42" applyFont="1" applyBorder="1" applyAlignment="1">
      <alignment horizontal="center" vertical="center"/>
      <protection/>
    </xf>
    <xf numFmtId="0" fontId="85" fillId="0" borderId="50" xfId="0" applyFont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 wrapText="1"/>
    </xf>
    <xf numFmtId="0" fontId="85" fillId="0" borderId="10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2" fillId="33" borderId="102" xfId="0" applyFont="1" applyFill="1" applyBorder="1" applyAlignment="1">
      <alignment horizontal="center" vertical="center" wrapText="1"/>
    </xf>
    <xf numFmtId="0" fontId="22" fillId="33" borderId="87" xfId="0" applyFont="1" applyFill="1" applyBorder="1" applyAlignment="1">
      <alignment horizontal="center" vertical="center" wrapText="1"/>
    </xf>
    <xf numFmtId="0" fontId="22" fillId="33" borderId="88" xfId="0" applyFont="1" applyFill="1" applyBorder="1" applyAlignment="1">
      <alignment horizontal="center" vertical="center" wrapText="1"/>
    </xf>
    <xf numFmtId="0" fontId="22" fillId="33" borderId="63" xfId="0" applyFont="1" applyFill="1" applyBorder="1" applyAlignment="1">
      <alignment horizontal="center" vertical="center" wrapText="1"/>
    </xf>
    <xf numFmtId="0" fontId="22" fillId="7" borderId="101" xfId="0" applyFont="1" applyFill="1" applyBorder="1" applyAlignment="1">
      <alignment horizontal="center" vertical="center" wrapText="1"/>
    </xf>
    <xf numFmtId="0" fontId="85" fillId="0" borderId="50" xfId="0" applyFont="1" applyFill="1" applyBorder="1" applyAlignment="1">
      <alignment horizontal="center" vertical="center"/>
    </xf>
    <xf numFmtId="0" fontId="85" fillId="0" borderId="42" xfId="0" applyFont="1" applyFill="1" applyBorder="1" applyAlignment="1">
      <alignment horizontal="center" vertical="center"/>
    </xf>
    <xf numFmtId="0" fontId="85" fillId="0" borderId="51" xfId="0" applyFont="1" applyFill="1" applyBorder="1" applyAlignment="1">
      <alignment horizontal="center" vertical="center"/>
    </xf>
    <xf numFmtId="0" fontId="85" fillId="0" borderId="28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47" xfId="0" applyFont="1" applyFill="1" applyBorder="1" applyAlignment="1">
      <alignment horizontal="center" vertical="center"/>
    </xf>
    <xf numFmtId="0" fontId="19" fillId="36" borderId="50" xfId="0" applyFont="1" applyFill="1" applyBorder="1" applyAlignment="1">
      <alignment horizontal="left" vertical="center"/>
    </xf>
    <xf numFmtId="0" fontId="19" fillId="36" borderId="42" xfId="0" applyFont="1" applyFill="1" applyBorder="1" applyAlignment="1">
      <alignment horizontal="left" vertical="center"/>
    </xf>
    <xf numFmtId="0" fontId="19" fillId="36" borderId="51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03" xfId="0" applyFont="1" applyFill="1" applyBorder="1" applyAlignment="1">
      <alignment horizontal="left" vertical="center" wrapText="1"/>
    </xf>
    <xf numFmtId="0" fontId="22" fillId="0" borderId="84" xfId="43" applyFont="1" applyFill="1" applyBorder="1" applyAlignment="1">
      <alignment horizontal="center" vertical="center" wrapText="1"/>
      <protection/>
    </xf>
    <xf numFmtId="0" fontId="22" fillId="0" borderId="85" xfId="43" applyFont="1" applyFill="1" applyBorder="1" applyAlignment="1">
      <alignment horizontal="center" vertical="center" wrapText="1"/>
      <protection/>
    </xf>
    <xf numFmtId="0" fontId="22" fillId="6" borderId="104" xfId="0" applyFont="1" applyFill="1" applyBorder="1" applyAlignment="1">
      <alignment horizontal="center" vertical="center" wrapText="1"/>
    </xf>
    <xf numFmtId="0" fontId="22" fillId="6" borderId="105" xfId="0" applyFont="1" applyFill="1" applyBorder="1" applyAlignment="1">
      <alignment horizontal="center" vertical="center" wrapText="1"/>
    </xf>
    <xf numFmtId="0" fontId="22" fillId="6" borderId="106" xfId="0" applyFont="1" applyFill="1" applyBorder="1" applyAlignment="1">
      <alignment horizontal="center" vertical="center" wrapText="1"/>
    </xf>
    <xf numFmtId="0" fontId="22" fillId="33" borderId="84" xfId="43" applyFont="1" applyFill="1" applyBorder="1" applyAlignment="1">
      <alignment horizontal="center" vertical="center" wrapText="1"/>
      <protection/>
    </xf>
    <xf numFmtId="0" fontId="22" fillId="33" borderId="85" xfId="43" applyFont="1" applyFill="1" applyBorder="1" applyAlignment="1">
      <alignment horizontal="center" vertical="center" wrapText="1"/>
      <protection/>
    </xf>
    <xf numFmtId="0" fontId="22" fillId="0" borderId="57" xfId="0" applyFont="1" applyBorder="1" applyAlignment="1">
      <alignment horizontal="center" vertical="center" wrapText="1"/>
    </xf>
    <xf numFmtId="0" fontId="85" fillId="0" borderId="86" xfId="43" applyFont="1" applyFill="1" applyBorder="1" applyAlignment="1">
      <alignment horizontal="center" vertical="center" wrapText="1"/>
      <protection/>
    </xf>
    <xf numFmtId="0" fontId="85" fillId="0" borderId="87" xfId="43" applyFont="1" applyFill="1" applyBorder="1" applyAlignment="1">
      <alignment horizontal="center" vertical="center" wrapText="1"/>
      <protection/>
    </xf>
    <xf numFmtId="0" fontId="85" fillId="0" borderId="88" xfId="43" applyFont="1" applyFill="1" applyBorder="1" applyAlignment="1">
      <alignment horizontal="center" vertical="center" wrapText="1"/>
      <protection/>
    </xf>
    <xf numFmtId="0" fontId="22" fillId="6" borderId="107" xfId="0" applyFont="1" applyFill="1" applyBorder="1" applyAlignment="1">
      <alignment horizontal="center" vertical="center" wrapText="1"/>
    </xf>
    <xf numFmtId="0" fontId="22" fillId="6" borderId="108" xfId="0" applyFont="1" applyFill="1" applyBorder="1" applyAlignment="1">
      <alignment horizontal="center" vertical="center" wrapText="1"/>
    </xf>
    <xf numFmtId="0" fontId="22" fillId="6" borderId="109" xfId="0" applyFont="1" applyFill="1" applyBorder="1" applyAlignment="1">
      <alignment horizontal="center" vertical="center" wrapText="1"/>
    </xf>
    <xf numFmtId="0" fontId="91" fillId="33" borderId="0" xfId="0" applyFont="1" applyFill="1" applyBorder="1" applyAlignment="1">
      <alignment horizontal="left" vertical="center" wrapText="1"/>
    </xf>
    <xf numFmtId="0" fontId="91" fillId="33" borderId="47" xfId="0" applyFont="1" applyFill="1" applyBorder="1" applyAlignment="1">
      <alignment horizontal="left" vertical="center" wrapText="1"/>
    </xf>
    <xf numFmtId="0" fontId="22" fillId="0" borderId="84" xfId="0" applyFont="1" applyFill="1" applyBorder="1" applyAlignment="1">
      <alignment horizontal="center" vertical="center" wrapText="1"/>
    </xf>
    <xf numFmtId="0" fontId="22" fillId="0" borderId="85" xfId="0" applyFont="1" applyFill="1" applyBorder="1" applyAlignment="1">
      <alignment horizontal="center" vertical="center" wrapText="1"/>
    </xf>
    <xf numFmtId="0" fontId="22" fillId="0" borderId="86" xfId="43" applyFont="1" applyFill="1" applyBorder="1" applyAlignment="1">
      <alignment horizontal="center" vertical="center" wrapText="1"/>
      <protection/>
    </xf>
    <xf numFmtId="0" fontId="22" fillId="0" borderId="87" xfId="43" applyFont="1" applyFill="1" applyBorder="1" applyAlignment="1">
      <alignment horizontal="center" vertical="center" wrapText="1"/>
      <protection/>
    </xf>
    <xf numFmtId="0" fontId="22" fillId="0" borderId="88" xfId="43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 textRotation="255"/>
    </xf>
    <xf numFmtId="0" fontId="12" fillId="0" borderId="65" xfId="0" applyFont="1" applyFill="1" applyBorder="1" applyAlignment="1">
      <alignment horizontal="center" vertical="center" textRotation="255"/>
    </xf>
    <xf numFmtId="0" fontId="12" fillId="0" borderId="93" xfId="0" applyFont="1" applyFill="1" applyBorder="1" applyAlignment="1">
      <alignment horizontal="center" vertical="center" textRotation="255"/>
    </xf>
    <xf numFmtId="0" fontId="12" fillId="0" borderId="12" xfId="0" applyFont="1" applyFill="1" applyBorder="1" applyAlignment="1">
      <alignment horizontal="center" vertical="center" textRotation="255"/>
    </xf>
    <xf numFmtId="0" fontId="10" fillId="0" borderId="1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84" fontId="19" fillId="0" borderId="93" xfId="0" applyNumberFormat="1" applyFont="1" applyBorder="1" applyAlignment="1">
      <alignment horizontal="center" vertical="center"/>
    </xf>
    <xf numFmtId="184" fontId="19" fillId="0" borderId="96" xfId="0" applyNumberFormat="1" applyFont="1" applyBorder="1" applyAlignment="1">
      <alignment horizontal="center" vertical="center"/>
    </xf>
    <xf numFmtId="0" fontId="85" fillId="0" borderId="84" xfId="43" applyFont="1" applyFill="1" applyBorder="1" applyAlignment="1">
      <alignment horizontal="center" vertical="center" wrapText="1"/>
      <protection/>
    </xf>
    <xf numFmtId="0" fontId="85" fillId="0" borderId="85" xfId="43" applyFont="1" applyFill="1" applyBorder="1" applyAlignment="1">
      <alignment horizontal="center" vertical="center" wrapText="1"/>
      <protection/>
    </xf>
    <xf numFmtId="0" fontId="85" fillId="0" borderId="63" xfId="43" applyFont="1" applyFill="1" applyBorder="1" applyAlignment="1">
      <alignment horizontal="center" vertical="center" wrapText="1"/>
      <protection/>
    </xf>
    <xf numFmtId="0" fontId="85" fillId="0" borderId="57" xfId="43" applyFont="1" applyFill="1" applyBorder="1" applyAlignment="1">
      <alignment horizontal="center" vertical="center" wrapText="1"/>
      <protection/>
    </xf>
    <xf numFmtId="0" fontId="21" fillId="0" borderId="81" xfId="0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/>
    </xf>
    <xf numFmtId="0" fontId="86" fillId="33" borderId="14" xfId="0" applyFont="1" applyFill="1" applyBorder="1" applyAlignment="1">
      <alignment horizontal="center" vertical="center"/>
    </xf>
    <xf numFmtId="0" fontId="22" fillId="0" borderId="111" xfId="43" applyFont="1" applyFill="1" applyBorder="1" applyAlignment="1">
      <alignment horizontal="center" vertical="center" wrapText="1"/>
      <protection/>
    </xf>
    <xf numFmtId="0" fontId="22" fillId="0" borderId="99" xfId="0" applyFont="1" applyFill="1" applyBorder="1" applyAlignment="1">
      <alignment horizontal="center" vertical="center" wrapText="1"/>
    </xf>
    <xf numFmtId="0" fontId="22" fillId="33" borderId="99" xfId="43" applyFont="1" applyFill="1" applyBorder="1" applyAlignment="1">
      <alignment horizontal="center" vertical="center" wrapText="1"/>
      <protection/>
    </xf>
    <xf numFmtId="0" fontId="21" fillId="6" borderId="112" xfId="0" applyFont="1" applyFill="1" applyBorder="1" applyAlignment="1">
      <alignment horizontal="center" vertical="center"/>
    </xf>
    <xf numFmtId="0" fontId="22" fillId="33" borderId="89" xfId="0" applyFont="1" applyFill="1" applyBorder="1" applyAlignment="1">
      <alignment horizontal="center" vertical="center" wrapText="1"/>
    </xf>
    <xf numFmtId="0" fontId="22" fillId="33" borderId="90" xfId="0" applyFont="1" applyFill="1" applyBorder="1" applyAlignment="1">
      <alignment horizontal="center" vertical="center" wrapText="1"/>
    </xf>
    <xf numFmtId="0" fontId="86" fillId="33" borderId="33" xfId="0" applyFont="1" applyFill="1" applyBorder="1" applyAlignment="1">
      <alignment horizontal="center" vertical="center" wrapText="1"/>
    </xf>
    <xf numFmtId="0" fontId="86" fillId="33" borderId="48" xfId="0" applyFont="1" applyFill="1" applyBorder="1" applyAlignment="1">
      <alignment horizontal="center" vertical="center" wrapText="1"/>
    </xf>
    <xf numFmtId="0" fontId="90" fillId="33" borderId="28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  <xf numFmtId="0" fontId="90" fillId="33" borderId="47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47" xfId="0" applyFont="1" applyFill="1" applyBorder="1" applyAlignment="1">
      <alignment horizontal="center" vertical="center" wrapText="1"/>
    </xf>
    <xf numFmtId="0" fontId="22" fillId="37" borderId="57" xfId="0" applyFont="1" applyFill="1" applyBorder="1" applyAlignment="1">
      <alignment horizontal="center" vertical="center" wrapText="1"/>
    </xf>
    <xf numFmtId="0" fontId="22" fillId="33" borderId="57" xfId="46" applyFont="1" applyFill="1" applyBorder="1" applyAlignment="1">
      <alignment horizontal="center" vertical="center" wrapText="1"/>
      <protection/>
    </xf>
    <xf numFmtId="0" fontId="22" fillId="33" borderId="84" xfId="46" applyFont="1" applyFill="1" applyBorder="1" applyAlignment="1">
      <alignment horizontal="center" vertical="center" wrapText="1"/>
      <protection/>
    </xf>
    <xf numFmtId="0" fontId="22" fillId="0" borderId="57" xfId="46" applyFont="1" applyBorder="1" applyAlignment="1">
      <alignment horizontal="center" vertical="center" wrapText="1"/>
      <protection/>
    </xf>
    <xf numFmtId="0" fontId="22" fillId="0" borderId="84" xfId="46" applyFont="1" applyBorder="1" applyAlignment="1">
      <alignment horizontal="center" vertical="center" wrapText="1"/>
      <protection/>
    </xf>
    <xf numFmtId="0" fontId="21" fillId="0" borderId="81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6" borderId="113" xfId="0" applyFont="1" applyFill="1" applyBorder="1" applyAlignment="1">
      <alignment horizontal="center" vertical="center"/>
    </xf>
    <xf numFmtId="0" fontId="22" fillId="6" borderId="114" xfId="0" applyFont="1" applyFill="1" applyBorder="1" applyAlignment="1">
      <alignment horizontal="center" vertical="center" wrapText="1"/>
    </xf>
    <xf numFmtId="0" fontId="22" fillId="6" borderId="115" xfId="0" applyFont="1" applyFill="1" applyBorder="1" applyAlignment="1">
      <alignment horizontal="center" vertical="center" wrapText="1"/>
    </xf>
    <xf numFmtId="0" fontId="22" fillId="6" borderId="116" xfId="0" applyFont="1" applyFill="1" applyBorder="1" applyAlignment="1">
      <alignment horizontal="center" vertical="center" wrapText="1"/>
    </xf>
    <xf numFmtId="0" fontId="28" fillId="33" borderId="15" xfId="41" applyFont="1" applyFill="1" applyBorder="1" applyAlignment="1">
      <alignment horizontal="center" vertical="center"/>
      <protection/>
    </xf>
    <xf numFmtId="0" fontId="28" fillId="33" borderId="13" xfId="4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24" fillId="0" borderId="117" xfId="0" applyFont="1" applyBorder="1" applyAlignment="1">
      <alignment horizontal="left" vertical="center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3 2" xfId="35"/>
    <cellStyle name="一般 3 2 3" xfId="36"/>
    <cellStyle name="一般 3 2 4 2" xfId="37"/>
    <cellStyle name="一般 3 3 2" xfId="38"/>
    <cellStyle name="一般 5" xfId="39"/>
    <cellStyle name="一般 6" xfId="40"/>
    <cellStyle name="一般 6 2" xfId="41"/>
    <cellStyle name="一般 6 2 2" xfId="42"/>
    <cellStyle name="一般 7" xfId="43"/>
    <cellStyle name="一般 7 3" xfId="44"/>
    <cellStyle name="一般 7 3 2" xfId="45"/>
    <cellStyle name="一般 7 3 4 2" xfId="46"/>
    <cellStyle name="一般 8 2" xfId="47"/>
    <cellStyle name="Comma" xfId="48"/>
    <cellStyle name="Comma [0]" xfId="49"/>
    <cellStyle name="中等" xfId="50"/>
    <cellStyle name="合計" xfId="51"/>
    <cellStyle name="好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說明文字" xfId="59"/>
    <cellStyle name="輔色1" xfId="60"/>
    <cellStyle name="輔色2" xfId="61"/>
    <cellStyle name="輔色3" xfId="62"/>
    <cellStyle name="輔色4" xfId="63"/>
    <cellStyle name="輔色5" xfId="64"/>
    <cellStyle name="輔色6" xfId="65"/>
    <cellStyle name="標題" xfId="66"/>
    <cellStyle name="標題 1" xfId="67"/>
    <cellStyle name="標題 2" xfId="68"/>
    <cellStyle name="標題 3" xfId="69"/>
    <cellStyle name="標題 4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38642;&#31471;&#30828;&#30879;\&#33756;&#21934;\111&#23416;&#24180;\112&#24180;05&#26376;\&#20689;&#24859;&#24188;&#40670;&#24515;_112.5(0515-0519)&#25209;&#207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6&#26376;\&#20689;&#24859;&#40670;&#24515;6&#26376;-5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3">
        <row r="1">
          <cell r="A1" t="str">
            <v>僑愛國民小學附幼111學年度下學期第</v>
          </cell>
          <cell r="O1">
            <v>15</v>
          </cell>
          <cell r="P1" t="str">
            <v>週點心食譜設計表</v>
          </cell>
        </row>
        <row r="2">
          <cell r="B2">
            <v>45068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周"/>
      <sheetName val="第三周"/>
      <sheetName val="第四周"/>
      <sheetName val="第五周"/>
      <sheetName val="總表"/>
    </sheetNames>
    <sheetDataSet>
      <sheetData sheetId="0">
        <row r="1">
          <cell r="A1" t="str">
            <v>僑愛國民小學附幼111學年度下學期第</v>
          </cell>
          <cell r="O1">
            <v>16</v>
          </cell>
          <cell r="P1" t="str">
            <v>週點心食譜設計表</v>
          </cell>
        </row>
        <row r="2">
          <cell r="B2">
            <v>45075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view="pageBreakPreview" zoomScale="75" zoomScaleNormal="50" zoomScaleSheetLayoutView="75" zoomScalePageLayoutView="0" workbookViewId="0" topLeftCell="A1">
      <selection activeCell="Z17" sqref="Z17"/>
    </sheetView>
  </sheetViews>
  <sheetFormatPr defaultColWidth="6.125" defaultRowHeight="16.5"/>
  <cols>
    <col min="1" max="1" width="3.75390625" style="144" customWidth="1"/>
    <col min="2" max="2" width="18.375" style="145" customWidth="1"/>
    <col min="3" max="3" width="6.125" style="145" hidden="1" customWidth="1"/>
    <col min="4" max="5" width="5.625" style="145" customWidth="1"/>
    <col min="6" max="6" width="6.125" style="146" hidden="1" customWidth="1"/>
    <col min="7" max="7" width="6.125" style="147" hidden="1" customWidth="1"/>
    <col min="8" max="8" width="3.625" style="144" customWidth="1"/>
    <col min="9" max="9" width="15.875" style="145" customWidth="1"/>
    <col min="10" max="10" width="6.125" style="145" hidden="1" customWidth="1"/>
    <col min="11" max="12" width="5.625" style="145" customWidth="1"/>
    <col min="13" max="13" width="6.125" style="146" hidden="1" customWidth="1"/>
    <col min="14" max="14" width="6.125" style="147" hidden="1" customWidth="1"/>
    <col min="15" max="15" width="3.875" style="144" customWidth="1"/>
    <col min="16" max="16" width="16.375" style="145" customWidth="1"/>
    <col min="17" max="17" width="6.125" style="145" hidden="1" customWidth="1"/>
    <col min="18" max="19" width="5.625" style="145" customWidth="1"/>
    <col min="20" max="20" width="6.125" style="146" hidden="1" customWidth="1"/>
    <col min="21" max="21" width="6.125" style="147" hidden="1" customWidth="1"/>
    <col min="22" max="22" width="3.625" style="148" customWidth="1"/>
    <col min="23" max="23" width="16.125" style="145" customWidth="1"/>
    <col min="24" max="24" width="6.125" style="145" hidden="1" customWidth="1"/>
    <col min="25" max="26" width="5.625" style="145" customWidth="1"/>
    <col min="27" max="27" width="6.125" style="146" hidden="1" customWidth="1"/>
    <col min="28" max="28" width="6.125" style="147" hidden="1" customWidth="1"/>
    <col min="29" max="29" width="4.125" style="144" customWidth="1"/>
    <col min="30" max="30" width="16.125" style="145" customWidth="1"/>
    <col min="31" max="31" width="6.125" style="145" hidden="1" customWidth="1"/>
    <col min="32" max="33" width="5.625" style="145" customWidth="1"/>
    <col min="34" max="34" width="6.125" style="149" hidden="1" customWidth="1"/>
    <col min="35" max="35" width="9.50390625" style="147" hidden="1" customWidth="1"/>
    <col min="36" max="36" width="11.00390625" style="150" customWidth="1"/>
    <col min="37" max="37" width="8.00390625" style="150" bestFit="1" customWidth="1"/>
    <col min="38" max="16384" width="6.125" style="150" customWidth="1"/>
  </cols>
  <sheetData>
    <row r="1" spans="1:41" s="52" customFormat="1" ht="30" customHeight="1">
      <c r="A1" s="377" t="str">
        <f>'[1]第四周'!A1</f>
        <v>僑愛國民小學附幼111學年度下學期第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65">
        <f>'[1]第四周'!O1+1</f>
        <v>16</v>
      </c>
      <c r="P1" s="360" t="str">
        <f>'[1]第四周'!P1</f>
        <v>週點心食譜設計表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53">
        <v>72</v>
      </c>
      <c r="AF1" s="53">
        <v>72</v>
      </c>
      <c r="AG1" s="53"/>
      <c r="AH1" s="53"/>
      <c r="AI1" s="53"/>
      <c r="AK1" s="53"/>
      <c r="AL1" s="53"/>
      <c r="AM1" s="53"/>
      <c r="AN1" s="53"/>
      <c r="AO1" s="54"/>
    </row>
    <row r="2" spans="1:35" s="65" customFormat="1" ht="18.75" customHeight="1">
      <c r="A2" s="366" t="s">
        <v>0</v>
      </c>
      <c r="B2" s="368">
        <f>'[1]第四周'!B2+7</f>
        <v>45075</v>
      </c>
      <c r="C2" s="368"/>
      <c r="D2" s="368"/>
      <c r="E2" s="368"/>
      <c r="F2" s="55"/>
      <c r="G2" s="56"/>
      <c r="H2" s="370" t="s">
        <v>0</v>
      </c>
      <c r="I2" s="369">
        <f>B2+1</f>
        <v>45076</v>
      </c>
      <c r="J2" s="369"/>
      <c r="K2" s="369"/>
      <c r="L2" s="369"/>
      <c r="M2" s="57"/>
      <c r="N2" s="58"/>
      <c r="O2" s="374" t="s">
        <v>0</v>
      </c>
      <c r="P2" s="381">
        <f>I2+1</f>
        <v>45077</v>
      </c>
      <c r="Q2" s="381"/>
      <c r="R2" s="381"/>
      <c r="S2" s="381"/>
      <c r="T2" s="59"/>
      <c r="U2" s="60"/>
      <c r="V2" s="374" t="s">
        <v>0</v>
      </c>
      <c r="W2" s="376">
        <f>P2+1</f>
        <v>45078</v>
      </c>
      <c r="X2" s="376"/>
      <c r="Y2" s="376"/>
      <c r="Z2" s="376"/>
      <c r="AA2" s="61"/>
      <c r="AB2" s="62"/>
      <c r="AC2" s="374" t="s">
        <v>0</v>
      </c>
      <c r="AD2" s="384">
        <f>W2+1</f>
        <v>45079</v>
      </c>
      <c r="AE2" s="384"/>
      <c r="AF2" s="384"/>
      <c r="AG2" s="385"/>
      <c r="AH2" s="63"/>
      <c r="AI2" s="64"/>
    </row>
    <row r="3" spans="1:35" s="65" customFormat="1" ht="18.75" customHeight="1">
      <c r="A3" s="367"/>
      <c r="B3" s="16" t="s">
        <v>222</v>
      </c>
      <c r="C3" s="16" t="s">
        <v>25</v>
      </c>
      <c r="D3" s="291" t="s">
        <v>2</v>
      </c>
      <c r="E3" s="291" t="s">
        <v>3</v>
      </c>
      <c r="F3" s="66" t="s">
        <v>4</v>
      </c>
      <c r="G3" s="67" t="s">
        <v>5</v>
      </c>
      <c r="H3" s="371"/>
      <c r="I3" s="67" t="s">
        <v>1</v>
      </c>
      <c r="J3" s="67" t="s">
        <v>25</v>
      </c>
      <c r="K3" s="68" t="s">
        <v>2</v>
      </c>
      <c r="L3" s="68" t="s">
        <v>3</v>
      </c>
      <c r="M3" s="66" t="s">
        <v>4</v>
      </c>
      <c r="N3" s="69" t="s">
        <v>5</v>
      </c>
      <c r="O3" s="375"/>
      <c r="P3" s="67" t="s">
        <v>1</v>
      </c>
      <c r="Q3" s="67" t="s">
        <v>25</v>
      </c>
      <c r="R3" s="68" t="s">
        <v>2</v>
      </c>
      <c r="S3" s="68" t="s">
        <v>3</v>
      </c>
      <c r="T3" s="66" t="s">
        <v>4</v>
      </c>
      <c r="U3" s="69" t="s">
        <v>5</v>
      </c>
      <c r="V3" s="375"/>
      <c r="W3" s="67" t="s">
        <v>1</v>
      </c>
      <c r="X3" s="67" t="s">
        <v>25</v>
      </c>
      <c r="Y3" s="68" t="s">
        <v>2</v>
      </c>
      <c r="Z3" s="68" t="s">
        <v>3</v>
      </c>
      <c r="AA3" s="66" t="s">
        <v>4</v>
      </c>
      <c r="AB3" s="69" t="s">
        <v>5</v>
      </c>
      <c r="AC3" s="375"/>
      <c r="AD3" s="67" t="s">
        <v>1</v>
      </c>
      <c r="AE3" s="67" t="s">
        <v>25</v>
      </c>
      <c r="AF3" s="68" t="s">
        <v>2</v>
      </c>
      <c r="AG3" s="70" t="s">
        <v>3</v>
      </c>
      <c r="AH3" s="71" t="s">
        <v>4</v>
      </c>
      <c r="AI3" s="72" t="s">
        <v>5</v>
      </c>
    </row>
    <row r="4" spans="1:35" s="78" customFormat="1" ht="18.75" customHeight="1" hidden="1">
      <c r="A4" s="367"/>
      <c r="B4" s="372" t="s">
        <v>6</v>
      </c>
      <c r="C4" s="372"/>
      <c r="D4" s="372"/>
      <c r="E4" s="372"/>
      <c r="F4" s="73"/>
      <c r="G4" s="74"/>
      <c r="H4" s="371"/>
      <c r="I4" s="373" t="s">
        <v>7</v>
      </c>
      <c r="J4" s="373"/>
      <c r="K4" s="373"/>
      <c r="L4" s="373"/>
      <c r="M4" s="73"/>
      <c r="N4" s="75"/>
      <c r="O4" s="375"/>
      <c r="P4" s="373" t="s">
        <v>8</v>
      </c>
      <c r="Q4" s="373"/>
      <c r="R4" s="373"/>
      <c r="S4" s="373"/>
      <c r="T4" s="66"/>
      <c r="U4" s="76"/>
      <c r="V4" s="375"/>
      <c r="W4" s="373" t="s">
        <v>9</v>
      </c>
      <c r="X4" s="373"/>
      <c r="Y4" s="373"/>
      <c r="Z4" s="373"/>
      <c r="AA4" s="73"/>
      <c r="AB4" s="75"/>
      <c r="AC4" s="375"/>
      <c r="AD4" s="386" t="s">
        <v>26</v>
      </c>
      <c r="AE4" s="386"/>
      <c r="AF4" s="386"/>
      <c r="AG4" s="387"/>
      <c r="AH4" s="73"/>
      <c r="AI4" s="77"/>
    </row>
    <row r="5" spans="1:35" s="78" customFormat="1" ht="18.75" customHeight="1">
      <c r="A5" s="382" t="s">
        <v>10</v>
      </c>
      <c r="B5" s="379"/>
      <c r="C5" s="379"/>
      <c r="D5" s="379"/>
      <c r="E5" s="379"/>
      <c r="F5" s="79"/>
      <c r="G5" s="80"/>
      <c r="H5" s="383" t="s">
        <v>10</v>
      </c>
      <c r="I5" s="379"/>
      <c r="J5" s="379"/>
      <c r="K5" s="379"/>
      <c r="L5" s="379"/>
      <c r="M5" s="79"/>
      <c r="N5" s="81"/>
      <c r="O5" s="378" t="s">
        <v>10</v>
      </c>
      <c r="P5" s="379"/>
      <c r="Q5" s="379"/>
      <c r="R5" s="379"/>
      <c r="S5" s="379"/>
      <c r="T5" s="79"/>
      <c r="U5" s="81"/>
      <c r="V5" s="378" t="s">
        <v>10</v>
      </c>
      <c r="W5" s="379"/>
      <c r="X5" s="379"/>
      <c r="Y5" s="379"/>
      <c r="Z5" s="379"/>
      <c r="AA5" s="79"/>
      <c r="AB5" s="81"/>
      <c r="AC5" s="378" t="s">
        <v>10</v>
      </c>
      <c r="AD5" s="379"/>
      <c r="AE5" s="379"/>
      <c r="AF5" s="379"/>
      <c r="AG5" s="380"/>
      <c r="AH5" s="73"/>
      <c r="AI5" s="77"/>
    </row>
    <row r="6" spans="1:35" s="78" customFormat="1" ht="18.75" customHeight="1">
      <c r="A6" s="356" t="s">
        <v>223</v>
      </c>
      <c r="B6" s="50" t="s">
        <v>55</v>
      </c>
      <c r="C6" s="86">
        <v>1</v>
      </c>
      <c r="D6" s="50">
        <f>ROUND($AE$1*C6,0)</f>
        <v>72</v>
      </c>
      <c r="E6" s="87" t="s">
        <v>27</v>
      </c>
      <c r="F6" s="194"/>
      <c r="G6" s="37">
        <f aca="true" t="shared" si="0" ref="G6:G11">D6*F6</f>
        <v>0</v>
      </c>
      <c r="H6" s="361" t="s">
        <v>66</v>
      </c>
      <c r="I6" s="27" t="s">
        <v>67</v>
      </c>
      <c r="J6" s="27">
        <v>70</v>
      </c>
      <c r="K6" s="82">
        <f>ROUND($AF$1*J6/1000,1)</f>
        <v>5</v>
      </c>
      <c r="L6" s="154" t="s">
        <v>11</v>
      </c>
      <c r="M6" s="194"/>
      <c r="N6" s="37">
        <f>K6*M6</f>
        <v>0</v>
      </c>
      <c r="O6" s="356" t="s">
        <v>72</v>
      </c>
      <c r="P6" s="88" t="s">
        <v>216</v>
      </c>
      <c r="Q6" s="88">
        <v>70</v>
      </c>
      <c r="R6" s="82">
        <f>ROUND($AF$1*Q6/1000,1)</f>
        <v>5</v>
      </c>
      <c r="S6" s="89" t="s">
        <v>11</v>
      </c>
      <c r="T6" s="194"/>
      <c r="U6" s="76">
        <f>R6*T6</f>
        <v>0</v>
      </c>
      <c r="V6" s="356" t="s">
        <v>224</v>
      </c>
      <c r="W6" s="85" t="s">
        <v>70</v>
      </c>
      <c r="X6" s="86">
        <v>1.3</v>
      </c>
      <c r="Y6" s="82">
        <f>ROUND($AF$1*X6/20,0)</f>
        <v>5</v>
      </c>
      <c r="Z6" s="87" t="s">
        <v>71</v>
      </c>
      <c r="AA6" s="194">
        <v>65</v>
      </c>
      <c r="AB6" s="37">
        <f>Y6*AA6</f>
        <v>325</v>
      </c>
      <c r="AC6" s="364" t="s">
        <v>68</v>
      </c>
      <c r="AD6" s="27" t="s">
        <v>69</v>
      </c>
      <c r="AE6" s="27">
        <v>40</v>
      </c>
      <c r="AF6" s="82" t="s">
        <v>15</v>
      </c>
      <c r="AG6" s="83" t="s">
        <v>11</v>
      </c>
      <c r="AH6" s="194"/>
      <c r="AI6" s="70"/>
    </row>
    <row r="7" spans="1:35" s="78" customFormat="1" ht="18.75" customHeight="1">
      <c r="A7" s="357"/>
      <c r="B7" s="50"/>
      <c r="C7" s="86"/>
      <c r="D7" s="96"/>
      <c r="E7" s="97"/>
      <c r="F7" s="194"/>
      <c r="G7" s="37">
        <f t="shared" si="0"/>
        <v>0</v>
      </c>
      <c r="H7" s="362"/>
      <c r="I7" s="27" t="s">
        <v>73</v>
      </c>
      <c r="J7" s="27">
        <v>16.5</v>
      </c>
      <c r="K7" s="82">
        <v>3</v>
      </c>
      <c r="L7" s="92" t="s">
        <v>11</v>
      </c>
      <c r="M7" s="194"/>
      <c r="N7" s="37"/>
      <c r="O7" s="357"/>
      <c r="P7" s="88" t="s">
        <v>19</v>
      </c>
      <c r="Q7" s="88">
        <v>5</v>
      </c>
      <c r="R7" s="82">
        <f>ROUND($AF$1*Q7/1000,1)</f>
        <v>0.4</v>
      </c>
      <c r="S7" s="89" t="s">
        <v>11</v>
      </c>
      <c r="T7" s="194"/>
      <c r="U7" s="76">
        <f aca="true" t="shared" si="1" ref="U7:U15">R7*T7</f>
        <v>0</v>
      </c>
      <c r="V7" s="357"/>
      <c r="W7" s="85"/>
      <c r="X7" s="86"/>
      <c r="Y7" s="82"/>
      <c r="Z7" s="87"/>
      <c r="AA7" s="194"/>
      <c r="AB7" s="37">
        <f>Y7*AA7*65/1000</f>
        <v>0</v>
      </c>
      <c r="AC7" s="365"/>
      <c r="AD7" s="32" t="s">
        <v>74</v>
      </c>
      <c r="AE7" s="27">
        <v>10</v>
      </c>
      <c r="AF7" s="82" t="s">
        <v>15</v>
      </c>
      <c r="AG7" s="47" t="s">
        <v>11</v>
      </c>
      <c r="AH7" s="194"/>
      <c r="AI7" s="70"/>
    </row>
    <row r="8" spans="1:35" s="78" customFormat="1" ht="18.75" customHeight="1">
      <c r="A8" s="357"/>
      <c r="B8" s="50" t="s">
        <v>21</v>
      </c>
      <c r="C8" s="50">
        <v>20</v>
      </c>
      <c r="D8" s="50">
        <f>ROUND($AE$1*C8/1000,1)</f>
        <v>1.4</v>
      </c>
      <c r="E8" s="89" t="s">
        <v>11</v>
      </c>
      <c r="F8" s="194"/>
      <c r="G8" s="37">
        <f t="shared" si="0"/>
        <v>0</v>
      </c>
      <c r="H8" s="362"/>
      <c r="I8" s="27" t="s">
        <v>76</v>
      </c>
      <c r="J8" s="27">
        <v>8</v>
      </c>
      <c r="K8" s="82">
        <f>ROUND($AF$1*J8/1000,1)</f>
        <v>0.6</v>
      </c>
      <c r="L8" s="92" t="s">
        <v>11</v>
      </c>
      <c r="M8" s="194"/>
      <c r="N8" s="37">
        <f>K8*M8</f>
        <v>0</v>
      </c>
      <c r="O8" s="357"/>
      <c r="P8" s="88" t="s">
        <v>79</v>
      </c>
      <c r="Q8" s="88">
        <v>22</v>
      </c>
      <c r="R8" s="82" t="s">
        <v>15</v>
      </c>
      <c r="S8" s="89" t="s">
        <v>11</v>
      </c>
      <c r="T8" s="194"/>
      <c r="U8" s="76"/>
      <c r="V8" s="357"/>
      <c r="W8" s="90" t="s">
        <v>120</v>
      </c>
      <c r="X8" s="91">
        <v>16</v>
      </c>
      <c r="Y8" s="82">
        <f>ROUND($AF$1*X8/1000,1)</f>
        <v>1.2</v>
      </c>
      <c r="Z8" s="89" t="s">
        <v>11</v>
      </c>
      <c r="AA8" s="194">
        <v>238</v>
      </c>
      <c r="AB8" s="37">
        <f>Y8*AA8</f>
        <v>285.59999999999997</v>
      </c>
      <c r="AC8" s="365"/>
      <c r="AD8" s="27" t="s">
        <v>78</v>
      </c>
      <c r="AE8" s="27">
        <v>30</v>
      </c>
      <c r="AF8" s="82">
        <f>ROUND($AF$1*AE8/1000,1)</f>
        <v>2.2</v>
      </c>
      <c r="AG8" s="47" t="s">
        <v>11</v>
      </c>
      <c r="AH8" s="194">
        <v>36</v>
      </c>
      <c r="AI8" s="70">
        <f>AF8*AH8*65/1000</f>
        <v>5.148</v>
      </c>
    </row>
    <row r="9" spans="1:35" s="78" customFormat="1" ht="18.75" customHeight="1">
      <c r="A9" s="357"/>
      <c r="B9" s="50" t="s">
        <v>17</v>
      </c>
      <c r="C9" s="50">
        <v>0.6</v>
      </c>
      <c r="D9" s="50">
        <f>ROUND($AE$1*C9,0)</f>
        <v>43</v>
      </c>
      <c r="E9" s="87" t="s">
        <v>22</v>
      </c>
      <c r="F9" s="194"/>
      <c r="G9" s="37">
        <f t="shared" si="0"/>
        <v>0</v>
      </c>
      <c r="H9" s="362"/>
      <c r="I9" s="27" t="s">
        <v>80</v>
      </c>
      <c r="J9" s="27">
        <v>8.5</v>
      </c>
      <c r="K9" s="82">
        <f>ROUND($AF$1*J9/1000,1)</f>
        <v>0.6</v>
      </c>
      <c r="L9" s="92" t="s">
        <v>11</v>
      </c>
      <c r="M9" s="194"/>
      <c r="N9" s="37"/>
      <c r="O9" s="357"/>
      <c r="P9" s="88" t="s">
        <v>21</v>
      </c>
      <c r="Q9" s="88">
        <v>30</v>
      </c>
      <c r="R9" s="82">
        <f>ROUND($AF$1*Q9/1000,1)</f>
        <v>2.2</v>
      </c>
      <c r="S9" s="89" t="s">
        <v>11</v>
      </c>
      <c r="T9" s="194"/>
      <c r="U9" s="76">
        <f t="shared" si="1"/>
        <v>0</v>
      </c>
      <c r="V9" s="357"/>
      <c r="W9" s="50" t="s">
        <v>29</v>
      </c>
      <c r="X9" s="50">
        <v>20</v>
      </c>
      <c r="Y9" s="82">
        <f>ROUND($AF$1*X9/1000,1)</f>
        <v>1.4</v>
      </c>
      <c r="Z9" s="89" t="s">
        <v>11</v>
      </c>
      <c r="AA9" s="194">
        <v>63</v>
      </c>
      <c r="AB9" s="37">
        <f>Y9*AA9</f>
        <v>88.19999999999999</v>
      </c>
      <c r="AC9" s="365"/>
      <c r="AD9" s="27" t="s">
        <v>19</v>
      </c>
      <c r="AE9" s="27">
        <v>6</v>
      </c>
      <c r="AF9" s="82">
        <f>ROUND($AF$1*AE9/1000,1)</f>
        <v>0.4</v>
      </c>
      <c r="AG9" s="47" t="s">
        <v>11</v>
      </c>
      <c r="AH9" s="194">
        <v>45</v>
      </c>
      <c r="AI9" s="70">
        <f aca="true" t="shared" si="2" ref="AI9:AI20">AF9*AH9</f>
        <v>18</v>
      </c>
    </row>
    <row r="10" spans="1:35" s="78" customFormat="1" ht="18.75" customHeight="1">
      <c r="A10" s="357"/>
      <c r="B10" s="50" t="s">
        <v>225</v>
      </c>
      <c r="C10" s="50">
        <v>5</v>
      </c>
      <c r="D10" s="82">
        <f>ROUND($AF$1*C10/90,0)</f>
        <v>4</v>
      </c>
      <c r="E10" s="87" t="s">
        <v>16</v>
      </c>
      <c r="F10" s="194"/>
      <c r="G10" s="37">
        <f t="shared" si="0"/>
        <v>0</v>
      </c>
      <c r="H10" s="362"/>
      <c r="I10" s="27" t="s">
        <v>82</v>
      </c>
      <c r="J10" s="27">
        <v>2.5</v>
      </c>
      <c r="K10" s="82">
        <f>ROUND($AF$1*J10/1000,1)</f>
        <v>0.2</v>
      </c>
      <c r="L10" s="92" t="s">
        <v>11</v>
      </c>
      <c r="M10" s="194"/>
      <c r="N10" s="37"/>
      <c r="O10" s="357"/>
      <c r="P10" s="88" t="s">
        <v>81</v>
      </c>
      <c r="Q10" s="88">
        <v>2</v>
      </c>
      <c r="R10" s="82">
        <f>ROUND($AF$1*Q10/1000,1)</f>
        <v>0.1</v>
      </c>
      <c r="S10" s="89" t="s">
        <v>11</v>
      </c>
      <c r="T10" s="194"/>
      <c r="U10" s="76">
        <f t="shared" si="1"/>
        <v>0</v>
      </c>
      <c r="V10" s="357"/>
      <c r="W10" s="50"/>
      <c r="X10" s="86"/>
      <c r="Y10" s="82"/>
      <c r="Z10" s="89"/>
      <c r="AA10" s="194"/>
      <c r="AB10" s="37">
        <f>Y10*AA10</f>
        <v>0</v>
      </c>
      <c r="AC10" s="365"/>
      <c r="AD10" s="93" t="s">
        <v>221</v>
      </c>
      <c r="AE10" s="27">
        <v>3</v>
      </c>
      <c r="AF10" s="82">
        <f>ROUND($AF$1*AE10/1000,1)</f>
        <v>0.2</v>
      </c>
      <c r="AG10" s="47" t="s">
        <v>11</v>
      </c>
      <c r="AH10" s="194">
        <v>83</v>
      </c>
      <c r="AI10" s="70">
        <f t="shared" si="2"/>
        <v>16.6</v>
      </c>
    </row>
    <row r="11" spans="1:35" s="78" customFormat="1" ht="18.75" customHeight="1">
      <c r="A11" s="357"/>
      <c r="B11" s="50"/>
      <c r="C11" s="50"/>
      <c r="D11" s="50"/>
      <c r="E11" s="89"/>
      <c r="F11" s="194"/>
      <c r="G11" s="37">
        <f t="shared" si="0"/>
        <v>0</v>
      </c>
      <c r="H11" s="362"/>
      <c r="I11" s="27" t="s">
        <v>84</v>
      </c>
      <c r="J11" s="27">
        <v>0.5</v>
      </c>
      <c r="K11" s="82" t="s">
        <v>15</v>
      </c>
      <c r="L11" s="92" t="s">
        <v>11</v>
      </c>
      <c r="M11" s="194"/>
      <c r="N11" s="37"/>
      <c r="O11" s="357"/>
      <c r="P11" s="88" t="s">
        <v>58</v>
      </c>
      <c r="Q11" s="88">
        <v>10</v>
      </c>
      <c r="R11" s="82">
        <f>ROUND($AF$1*Q11/1000,1)</f>
        <v>0.7</v>
      </c>
      <c r="S11" s="89" t="s">
        <v>11</v>
      </c>
      <c r="T11" s="194"/>
      <c r="U11" s="76"/>
      <c r="V11" s="357"/>
      <c r="W11" s="94" t="s">
        <v>32</v>
      </c>
      <c r="X11" s="95">
        <v>0.5</v>
      </c>
      <c r="Y11" s="50">
        <f>ROUND($AE$1*X11,0)</f>
        <v>36</v>
      </c>
      <c r="Z11" s="87" t="s">
        <v>86</v>
      </c>
      <c r="AA11" s="194"/>
      <c r="AB11" s="37">
        <f>Y11*AA11</f>
        <v>0</v>
      </c>
      <c r="AC11" s="365"/>
      <c r="AD11" s="27" t="s">
        <v>85</v>
      </c>
      <c r="AE11" s="27">
        <v>2.5</v>
      </c>
      <c r="AF11" s="82" t="s">
        <v>15</v>
      </c>
      <c r="AG11" s="47" t="s">
        <v>11</v>
      </c>
      <c r="AH11" s="194"/>
      <c r="AI11" s="70"/>
    </row>
    <row r="12" spans="1:35" s="78" customFormat="1" ht="18.75" customHeight="1">
      <c r="A12" s="357"/>
      <c r="B12" s="38"/>
      <c r="C12" s="98"/>
      <c r="D12" s="82"/>
      <c r="E12" s="89"/>
      <c r="F12" s="194"/>
      <c r="G12" s="37"/>
      <c r="H12" s="362"/>
      <c r="I12" s="27" t="s">
        <v>87</v>
      </c>
      <c r="J12" s="27">
        <v>25</v>
      </c>
      <c r="K12" s="82">
        <f>ROUND($AF$1*J12/1000,1)</f>
        <v>1.8</v>
      </c>
      <c r="L12" s="92" t="s">
        <v>11</v>
      </c>
      <c r="M12" s="194"/>
      <c r="N12" s="37"/>
      <c r="O12" s="357"/>
      <c r="P12" s="88"/>
      <c r="Q12" s="88"/>
      <c r="R12" s="82"/>
      <c r="S12" s="89"/>
      <c r="T12" s="194"/>
      <c r="U12" s="37">
        <f>R12*T12</f>
        <v>0</v>
      </c>
      <c r="V12" s="357"/>
      <c r="W12" s="38"/>
      <c r="X12" s="98"/>
      <c r="Y12" s="82"/>
      <c r="Z12" s="89"/>
      <c r="AA12" s="194"/>
      <c r="AB12" s="37">
        <f>Y12*AA12</f>
        <v>0</v>
      </c>
      <c r="AC12" s="365"/>
      <c r="AD12" s="27" t="s">
        <v>88</v>
      </c>
      <c r="AE12" s="27">
        <v>6</v>
      </c>
      <c r="AF12" s="82">
        <f>ROUND($AF$1*AE12/1000,1)</f>
        <v>0.4</v>
      </c>
      <c r="AG12" s="47" t="s">
        <v>11</v>
      </c>
      <c r="AH12" s="194">
        <v>140</v>
      </c>
      <c r="AI12" s="70">
        <f t="shared" si="2"/>
        <v>56</v>
      </c>
    </row>
    <row r="13" spans="1:35" s="78" customFormat="1" ht="18.75" customHeight="1">
      <c r="A13" s="357"/>
      <c r="B13" s="95"/>
      <c r="C13" s="95"/>
      <c r="D13" s="96"/>
      <c r="E13" s="97"/>
      <c r="F13" s="194"/>
      <c r="G13" s="37"/>
      <c r="H13" s="362"/>
      <c r="I13" s="27" t="s">
        <v>89</v>
      </c>
      <c r="J13" s="27">
        <v>2.5</v>
      </c>
      <c r="K13" s="82">
        <f>ROUND($AF$1*J13/1000,1)</f>
        <v>0.2</v>
      </c>
      <c r="L13" s="92" t="s">
        <v>11</v>
      </c>
      <c r="M13" s="194"/>
      <c r="N13" s="37"/>
      <c r="O13" s="357"/>
      <c r="P13" s="88"/>
      <c r="Q13" s="88"/>
      <c r="R13" s="82"/>
      <c r="S13" s="89"/>
      <c r="T13" s="194"/>
      <c r="U13" s="76"/>
      <c r="V13" s="357"/>
      <c r="W13" s="95"/>
      <c r="X13" s="95"/>
      <c r="Y13" s="96"/>
      <c r="Z13" s="97">
        <v>45</v>
      </c>
      <c r="AA13" s="194"/>
      <c r="AB13" s="37"/>
      <c r="AC13" s="365"/>
      <c r="AD13" s="27" t="s">
        <v>90</v>
      </c>
      <c r="AE13" s="27">
        <v>0.5</v>
      </c>
      <c r="AF13" s="82" t="s">
        <v>15</v>
      </c>
      <c r="AG13" s="47" t="s">
        <v>11</v>
      </c>
      <c r="AH13" s="194"/>
      <c r="AI13" s="70"/>
    </row>
    <row r="14" spans="1:35" s="78" customFormat="1" ht="18.75" customHeight="1">
      <c r="A14" s="357"/>
      <c r="B14" s="95"/>
      <c r="C14" s="95"/>
      <c r="D14" s="96"/>
      <c r="E14" s="97"/>
      <c r="F14" s="194"/>
      <c r="G14" s="37"/>
      <c r="H14" s="362"/>
      <c r="I14" s="33" t="s">
        <v>91</v>
      </c>
      <c r="J14" s="33">
        <v>15</v>
      </c>
      <c r="K14" s="82">
        <f>ROUND($AF$1*J14/1000,1)</f>
        <v>1.1</v>
      </c>
      <c r="L14" s="92" t="s">
        <v>11</v>
      </c>
      <c r="M14" s="194"/>
      <c r="N14" s="37"/>
      <c r="O14" s="357"/>
      <c r="P14" s="88"/>
      <c r="Q14" s="88"/>
      <c r="R14" s="82"/>
      <c r="S14" s="89"/>
      <c r="T14" s="194"/>
      <c r="U14" s="76"/>
      <c r="V14" s="357"/>
      <c r="AA14" s="194"/>
      <c r="AB14" s="37"/>
      <c r="AC14" s="365"/>
      <c r="AD14" s="50"/>
      <c r="AE14" s="50"/>
      <c r="AF14" s="92"/>
      <c r="AG14" s="47"/>
      <c r="AH14" s="194"/>
      <c r="AI14" s="70"/>
    </row>
    <row r="15" spans="1:35" s="65" customFormat="1" ht="18.75" customHeight="1">
      <c r="A15" s="357"/>
      <c r="B15" s="95"/>
      <c r="C15" s="95"/>
      <c r="D15" s="96"/>
      <c r="E15" s="97"/>
      <c r="F15" s="194"/>
      <c r="G15" s="37"/>
      <c r="H15" s="363"/>
      <c r="I15" s="99"/>
      <c r="J15" s="100"/>
      <c r="K15" s="92"/>
      <c r="L15" s="92"/>
      <c r="M15" s="194"/>
      <c r="N15" s="37">
        <f>K15*M15</f>
        <v>0</v>
      </c>
      <c r="O15" s="357"/>
      <c r="P15" s="88"/>
      <c r="Q15" s="88"/>
      <c r="R15" s="82"/>
      <c r="S15" s="89"/>
      <c r="T15" s="194"/>
      <c r="U15" s="76">
        <f t="shared" si="1"/>
        <v>0</v>
      </c>
      <c r="V15" s="357"/>
      <c r="W15" s="86"/>
      <c r="X15" s="86"/>
      <c r="Y15" s="96"/>
      <c r="Z15" s="97"/>
      <c r="AA15" s="194"/>
      <c r="AB15" s="37">
        <f>Y12*AA15</f>
        <v>0</v>
      </c>
      <c r="AC15" s="365"/>
      <c r="AD15" s="50"/>
      <c r="AE15" s="50"/>
      <c r="AF15" s="92"/>
      <c r="AG15" s="47"/>
      <c r="AH15" s="194"/>
      <c r="AI15" s="70"/>
    </row>
    <row r="16" spans="1:35" s="78" customFormat="1" ht="18.75" customHeight="1">
      <c r="A16" s="349" t="s">
        <v>12</v>
      </c>
      <c r="B16" s="349"/>
      <c r="C16" s="349"/>
      <c r="D16" s="349"/>
      <c r="E16" s="349"/>
      <c r="F16" s="252"/>
      <c r="G16" s="80"/>
      <c r="H16" s="349" t="s">
        <v>41</v>
      </c>
      <c r="I16" s="349"/>
      <c r="J16" s="349"/>
      <c r="K16" s="349"/>
      <c r="L16" s="350"/>
      <c r="M16" s="252"/>
      <c r="N16" s="81"/>
      <c r="O16" s="349" t="s">
        <v>12</v>
      </c>
      <c r="P16" s="349"/>
      <c r="Q16" s="349"/>
      <c r="R16" s="349"/>
      <c r="S16" s="349"/>
      <c r="T16" s="252"/>
      <c r="U16" s="81"/>
      <c r="V16" s="349" t="s">
        <v>12</v>
      </c>
      <c r="W16" s="349"/>
      <c r="X16" s="349"/>
      <c r="Y16" s="349"/>
      <c r="Z16" s="349"/>
      <c r="AA16" s="252"/>
      <c r="AB16" s="81"/>
      <c r="AC16" s="349" t="s">
        <v>12</v>
      </c>
      <c r="AD16" s="349"/>
      <c r="AE16" s="349"/>
      <c r="AF16" s="349"/>
      <c r="AG16" s="349"/>
      <c r="AH16" s="252"/>
      <c r="AI16" s="77"/>
    </row>
    <row r="17" spans="1:35" s="78" customFormat="1" ht="18.75" customHeight="1">
      <c r="A17" s="351" t="s">
        <v>92</v>
      </c>
      <c r="B17" s="25" t="s">
        <v>30</v>
      </c>
      <c r="C17" s="25">
        <v>42</v>
      </c>
      <c r="D17" s="82">
        <f>ROUND($AE$1*C17/1000,1)</f>
        <v>3</v>
      </c>
      <c r="E17" s="92" t="s">
        <v>11</v>
      </c>
      <c r="F17" s="194"/>
      <c r="G17" s="37">
        <f>D17*F17</f>
        <v>0</v>
      </c>
      <c r="H17" s="353" t="s">
        <v>226</v>
      </c>
      <c r="I17" s="101" t="s">
        <v>93</v>
      </c>
      <c r="J17" s="101">
        <v>15</v>
      </c>
      <c r="K17" s="102" t="s">
        <v>60</v>
      </c>
      <c r="L17" s="82" t="s">
        <v>11</v>
      </c>
      <c r="M17" s="194"/>
      <c r="N17" s="37"/>
      <c r="O17" s="356" t="s">
        <v>92</v>
      </c>
      <c r="P17" s="37" t="s">
        <v>98</v>
      </c>
      <c r="Q17" s="37">
        <v>47</v>
      </c>
      <c r="R17" s="82">
        <v>3</v>
      </c>
      <c r="S17" s="89" t="s">
        <v>22</v>
      </c>
      <c r="T17" s="194"/>
      <c r="U17" s="37">
        <f>R17*T17</f>
        <v>0</v>
      </c>
      <c r="V17" s="356" t="s">
        <v>97</v>
      </c>
      <c r="W17" s="103" t="s">
        <v>63</v>
      </c>
      <c r="X17" s="103">
        <v>1.39</v>
      </c>
      <c r="Y17" s="50">
        <v>10</v>
      </c>
      <c r="Z17" s="103" t="s">
        <v>14</v>
      </c>
      <c r="AA17" s="194">
        <v>38</v>
      </c>
      <c r="AB17" s="37">
        <f>Y17*AA17</f>
        <v>380</v>
      </c>
      <c r="AC17" s="358" t="s">
        <v>94</v>
      </c>
      <c r="AD17" s="103" t="s">
        <v>95</v>
      </c>
      <c r="AE17" s="103">
        <v>1</v>
      </c>
      <c r="AF17" s="50">
        <f>ROUND($AE$1*AE17,0)</f>
        <v>72</v>
      </c>
      <c r="AG17" s="89" t="s">
        <v>96</v>
      </c>
      <c r="AH17" s="194">
        <v>19</v>
      </c>
      <c r="AI17" s="70">
        <f t="shared" si="2"/>
        <v>1368</v>
      </c>
    </row>
    <row r="18" spans="1:35" s="78" customFormat="1" ht="18.75" customHeight="1">
      <c r="A18" s="352"/>
      <c r="B18" s="25" t="s">
        <v>227</v>
      </c>
      <c r="C18" s="25">
        <v>55</v>
      </c>
      <c r="D18" s="82">
        <f>ROUND($AE$1*C18/1000,1)</f>
        <v>4</v>
      </c>
      <c r="E18" s="92" t="s">
        <v>11</v>
      </c>
      <c r="F18" s="194"/>
      <c r="G18" s="37">
        <f>D18*F18</f>
        <v>0</v>
      </c>
      <c r="H18" s="354"/>
      <c r="I18" s="101" t="s">
        <v>228</v>
      </c>
      <c r="J18" s="101">
        <v>5</v>
      </c>
      <c r="K18" s="102" t="s">
        <v>60</v>
      </c>
      <c r="L18" s="82" t="s">
        <v>11</v>
      </c>
      <c r="M18" s="194"/>
      <c r="N18" s="37"/>
      <c r="O18" s="357"/>
      <c r="P18" s="37" t="s">
        <v>99</v>
      </c>
      <c r="Q18" s="25">
        <v>42</v>
      </c>
      <c r="R18" s="82">
        <f>ROUND($AE$1*Q18/1000,1)</f>
        <v>3</v>
      </c>
      <c r="S18" s="89" t="s">
        <v>11</v>
      </c>
      <c r="T18" s="194"/>
      <c r="U18" s="37">
        <f>R18*T18</f>
        <v>0</v>
      </c>
      <c r="V18" s="357"/>
      <c r="W18" s="78" t="s">
        <v>285</v>
      </c>
      <c r="AA18" s="194"/>
      <c r="AB18" s="37">
        <f>Y18*AA18</f>
        <v>0</v>
      </c>
      <c r="AC18" s="358"/>
      <c r="AD18" s="88"/>
      <c r="AE18" s="98"/>
      <c r="AF18" s="82"/>
      <c r="AG18" s="89"/>
      <c r="AH18" s="194"/>
      <c r="AI18" s="70">
        <f t="shared" si="2"/>
        <v>0</v>
      </c>
    </row>
    <row r="19" spans="1:35" s="78" customFormat="1" ht="18.75" customHeight="1">
      <c r="A19" s="352"/>
      <c r="B19" s="25" t="s">
        <v>20</v>
      </c>
      <c r="C19" s="25">
        <v>42</v>
      </c>
      <c r="D19" s="82">
        <f>ROUND($AE$1*C19/1000,1)</f>
        <v>3</v>
      </c>
      <c r="E19" s="92" t="s">
        <v>11</v>
      </c>
      <c r="F19" s="194"/>
      <c r="G19" s="37">
        <f>D19*F19</f>
        <v>0</v>
      </c>
      <c r="H19" s="354"/>
      <c r="I19" s="50" t="s">
        <v>18</v>
      </c>
      <c r="J19" s="50">
        <v>10</v>
      </c>
      <c r="K19" s="102" t="s">
        <v>60</v>
      </c>
      <c r="L19" s="102" t="s">
        <v>100</v>
      </c>
      <c r="M19" s="194"/>
      <c r="N19" s="37"/>
      <c r="O19" s="357"/>
      <c r="P19" s="37" t="s">
        <v>101</v>
      </c>
      <c r="Q19" s="25">
        <v>42</v>
      </c>
      <c r="R19" s="82">
        <f>ROUND($AE$1*Q19/1000,1)</f>
        <v>3</v>
      </c>
      <c r="S19" s="89" t="s">
        <v>11</v>
      </c>
      <c r="T19" s="194"/>
      <c r="U19" s="37">
        <f>R19*T19</f>
        <v>0</v>
      </c>
      <c r="V19" s="357"/>
      <c r="W19" s="292" t="s">
        <v>229</v>
      </c>
      <c r="X19" s="103">
        <v>42</v>
      </c>
      <c r="Y19" s="82">
        <f>ROUND($AE$1*X19/1000,1)</f>
        <v>3</v>
      </c>
      <c r="Z19" s="103" t="s">
        <v>16</v>
      </c>
      <c r="AA19" s="194">
        <v>43</v>
      </c>
      <c r="AB19" s="37">
        <f>Y19*AA19</f>
        <v>129</v>
      </c>
      <c r="AC19" s="358"/>
      <c r="AD19" s="98"/>
      <c r="AE19" s="98"/>
      <c r="AF19" s="82"/>
      <c r="AG19" s="89"/>
      <c r="AH19" s="194"/>
      <c r="AI19" s="70">
        <f t="shared" si="2"/>
        <v>0</v>
      </c>
    </row>
    <row r="20" spans="1:35" s="78" customFormat="1" ht="18.75" customHeight="1">
      <c r="A20" s="352"/>
      <c r="B20" s="27"/>
      <c r="C20" s="27"/>
      <c r="D20" s="92"/>
      <c r="E20" s="92"/>
      <c r="F20" s="194"/>
      <c r="G20" s="37">
        <f>D20*F20</f>
        <v>0</v>
      </c>
      <c r="H20" s="354"/>
      <c r="I20" s="104" t="s">
        <v>102</v>
      </c>
      <c r="J20" s="293">
        <v>87</v>
      </c>
      <c r="K20" s="82">
        <f>ROUND($AE$1*J20/1000,0)</f>
        <v>6</v>
      </c>
      <c r="L20" s="25" t="s">
        <v>13</v>
      </c>
      <c r="M20" s="194"/>
      <c r="N20" s="37"/>
      <c r="O20" s="357"/>
      <c r="P20" s="50"/>
      <c r="Q20" s="50"/>
      <c r="R20" s="92"/>
      <c r="S20" s="47"/>
      <c r="T20" s="194"/>
      <c r="U20" s="37">
        <f>R20*T20</f>
        <v>0</v>
      </c>
      <c r="V20" s="357"/>
      <c r="W20" s="294" t="s">
        <v>102</v>
      </c>
      <c r="X20" s="37">
        <v>87</v>
      </c>
      <c r="Y20" s="82" t="s">
        <v>15</v>
      </c>
      <c r="Z20" s="105" t="s">
        <v>13</v>
      </c>
      <c r="AA20" s="194"/>
      <c r="AB20" s="37"/>
      <c r="AC20" s="358"/>
      <c r="AD20" s="98" t="s">
        <v>230</v>
      </c>
      <c r="AE20" s="103">
        <v>60</v>
      </c>
      <c r="AF20" s="82">
        <v>3</v>
      </c>
      <c r="AG20" s="89" t="s">
        <v>22</v>
      </c>
      <c r="AH20" s="194"/>
      <c r="AI20" s="70">
        <f t="shared" si="2"/>
        <v>0</v>
      </c>
    </row>
    <row r="21" spans="1:35" s="78" customFormat="1" ht="18.75" customHeight="1">
      <c r="A21" s="352"/>
      <c r="B21" s="104" t="s">
        <v>102</v>
      </c>
      <c r="C21" s="293">
        <v>128</v>
      </c>
      <c r="D21" s="82">
        <f>ROUND($AE$1*C21/1000,0)</f>
        <v>9</v>
      </c>
      <c r="E21" s="25" t="s">
        <v>13</v>
      </c>
      <c r="F21" s="194"/>
      <c r="G21" s="37">
        <f>D21*F21</f>
        <v>0</v>
      </c>
      <c r="H21" s="354"/>
      <c r="I21" s="98"/>
      <c r="J21" s="98"/>
      <c r="K21" s="82"/>
      <c r="L21" s="89"/>
      <c r="M21" s="194"/>
      <c r="N21" s="37"/>
      <c r="O21" s="357"/>
      <c r="P21" s="294" t="s">
        <v>102</v>
      </c>
      <c r="Q21" s="37">
        <v>128</v>
      </c>
      <c r="R21" s="82" t="s">
        <v>15</v>
      </c>
      <c r="S21" s="105" t="s">
        <v>13</v>
      </c>
      <c r="T21" s="194"/>
      <c r="U21" s="37"/>
      <c r="V21" s="357"/>
      <c r="W21" s="295" t="s">
        <v>231</v>
      </c>
      <c r="X21" s="50"/>
      <c r="Y21" s="92"/>
      <c r="Z21" s="47"/>
      <c r="AA21" s="194"/>
      <c r="AB21" s="37"/>
      <c r="AC21" s="358"/>
      <c r="AD21" s="98"/>
      <c r="AE21" s="98"/>
      <c r="AF21" s="82"/>
      <c r="AG21" s="89"/>
      <c r="AH21" s="194"/>
      <c r="AI21" s="70"/>
    </row>
    <row r="22" spans="1:35" s="78" customFormat="1" ht="18.75" customHeight="1">
      <c r="A22" s="352"/>
      <c r="B22" s="27"/>
      <c r="C22" s="27"/>
      <c r="D22" s="92"/>
      <c r="E22" s="92"/>
      <c r="F22" s="194"/>
      <c r="G22" s="37"/>
      <c r="H22" s="354"/>
      <c r="I22" s="325" t="s">
        <v>232</v>
      </c>
      <c r="J22" s="326"/>
      <c r="K22" s="326"/>
      <c r="L22" s="327"/>
      <c r="M22" s="194"/>
      <c r="N22" s="37"/>
      <c r="O22" s="357"/>
      <c r="P22" s="295" t="s">
        <v>233</v>
      </c>
      <c r="Q22" s="50"/>
      <c r="R22" s="92"/>
      <c r="S22" s="47"/>
      <c r="T22" s="194"/>
      <c r="U22" s="37"/>
      <c r="V22" s="357"/>
      <c r="W22" s="103"/>
      <c r="X22" s="103"/>
      <c r="Y22" s="103"/>
      <c r="Z22" s="103"/>
      <c r="AA22" s="194"/>
      <c r="AB22" s="37"/>
      <c r="AC22" s="358"/>
      <c r="AD22" s="328"/>
      <c r="AE22" s="329"/>
      <c r="AF22" s="329"/>
      <c r="AG22" s="330"/>
      <c r="AH22" s="194"/>
      <c r="AI22" s="70"/>
    </row>
    <row r="23" spans="1:35" s="78" customFormat="1" ht="18.75" customHeight="1">
      <c r="A23" s="352"/>
      <c r="B23" s="27"/>
      <c r="C23" s="27"/>
      <c r="D23" s="92"/>
      <c r="E23" s="92"/>
      <c r="F23" s="194"/>
      <c r="G23" s="37"/>
      <c r="H23" s="354"/>
      <c r="I23" s="50"/>
      <c r="J23" s="50"/>
      <c r="K23" s="92"/>
      <c r="L23" s="47"/>
      <c r="M23" s="194"/>
      <c r="N23" s="37"/>
      <c r="O23" s="357"/>
      <c r="P23" s="106" t="s">
        <v>104</v>
      </c>
      <c r="Q23" s="50"/>
      <c r="R23" s="92"/>
      <c r="S23" s="47"/>
      <c r="T23" s="194"/>
      <c r="U23" s="37"/>
      <c r="V23" s="357"/>
      <c r="W23" s="103" t="s">
        <v>103</v>
      </c>
      <c r="X23" s="103"/>
      <c r="Y23" s="103"/>
      <c r="Z23" s="103"/>
      <c r="AA23" s="194"/>
      <c r="AB23" s="37"/>
      <c r="AC23" s="358"/>
      <c r="AD23" s="103"/>
      <c r="AE23" s="103"/>
      <c r="AF23" s="82"/>
      <c r="AG23" s="89"/>
      <c r="AH23" s="194"/>
      <c r="AI23" s="70"/>
    </row>
    <row r="24" spans="1:35" s="78" customFormat="1" ht="18.75" customHeight="1" thickBot="1">
      <c r="A24" s="352"/>
      <c r="B24" s="107"/>
      <c r="C24" s="107"/>
      <c r="D24" s="108"/>
      <c r="E24" s="108"/>
      <c r="F24" s="253"/>
      <c r="G24" s="110">
        <f>D24*F24</f>
        <v>0</v>
      </c>
      <c r="H24" s="355"/>
      <c r="I24" s="111"/>
      <c r="J24" s="111"/>
      <c r="K24" s="108"/>
      <c r="L24" s="109"/>
      <c r="M24" s="253"/>
      <c r="N24" s="110">
        <f>K24*M24</f>
        <v>0</v>
      </c>
      <c r="O24" s="357"/>
      <c r="P24" s="111"/>
      <c r="Q24" s="111"/>
      <c r="R24" s="108"/>
      <c r="S24" s="109"/>
      <c r="T24" s="253"/>
      <c r="U24" s="110">
        <f>R24*T24</f>
        <v>0</v>
      </c>
      <c r="V24" s="357"/>
      <c r="W24" s="94"/>
      <c r="X24" s="95"/>
      <c r="Y24" s="50"/>
      <c r="Z24" s="87"/>
      <c r="AA24" s="253"/>
      <c r="AB24" s="110">
        <f>Y24*AA24</f>
        <v>0</v>
      </c>
      <c r="AC24" s="359"/>
      <c r="AD24" s="112"/>
      <c r="AE24" s="112"/>
      <c r="AF24" s="113"/>
      <c r="AG24" s="114"/>
      <c r="AH24" s="253"/>
      <c r="AI24" s="115"/>
    </row>
    <row r="25" spans="1:37" s="65" customFormat="1" ht="18.75" customHeight="1">
      <c r="A25" s="337" t="s">
        <v>105</v>
      </c>
      <c r="B25" s="116" t="s">
        <v>106</v>
      </c>
      <c r="C25" s="343">
        <v>2</v>
      </c>
      <c r="D25" s="343"/>
      <c r="E25" s="345"/>
      <c r="F25" s="348">
        <f>SUM(G6:G24)</f>
        <v>0</v>
      </c>
      <c r="G25" s="347"/>
      <c r="H25" s="340" t="s">
        <v>105</v>
      </c>
      <c r="I25" s="116" t="s">
        <v>106</v>
      </c>
      <c r="J25" s="343">
        <v>2.2</v>
      </c>
      <c r="K25" s="343"/>
      <c r="L25" s="345"/>
      <c r="M25" s="348">
        <f>SUM(N6:N24)</f>
        <v>0</v>
      </c>
      <c r="N25" s="347"/>
      <c r="O25" s="340" t="s">
        <v>105</v>
      </c>
      <c r="P25" s="116" t="s">
        <v>106</v>
      </c>
      <c r="Q25" s="343">
        <v>2</v>
      </c>
      <c r="R25" s="343"/>
      <c r="S25" s="345"/>
      <c r="T25" s="346">
        <f>SUM(U6:U24)</f>
        <v>0</v>
      </c>
      <c r="U25" s="347"/>
      <c r="V25" s="340" t="s">
        <v>105</v>
      </c>
      <c r="W25" s="116" t="s">
        <v>106</v>
      </c>
      <c r="X25" s="343">
        <v>2.5</v>
      </c>
      <c r="Y25" s="343"/>
      <c r="Z25" s="345"/>
      <c r="AA25" s="348">
        <f>SUM(AB6:AB24)</f>
        <v>1207.8</v>
      </c>
      <c r="AB25" s="347"/>
      <c r="AC25" s="340" t="s">
        <v>105</v>
      </c>
      <c r="AD25" s="116" t="s">
        <v>106</v>
      </c>
      <c r="AE25" s="343">
        <v>2</v>
      </c>
      <c r="AF25" s="343"/>
      <c r="AG25" s="344"/>
      <c r="AH25" s="346">
        <f>SUM(AI6:AI24)</f>
        <v>1463.748</v>
      </c>
      <c r="AI25" s="347"/>
      <c r="AJ25" s="117">
        <f>(C25+J25+Q25+X25+AE25)/5</f>
        <v>2.1399999999999997</v>
      </c>
      <c r="AK25" s="117">
        <f>(AE25+X25+Q25+J25+C25)/4</f>
        <v>2.675</v>
      </c>
    </row>
    <row r="26" spans="1:37" s="65" customFormat="1" ht="18.75" customHeight="1">
      <c r="A26" s="338"/>
      <c r="B26" s="118" t="s">
        <v>107</v>
      </c>
      <c r="C26" s="323">
        <v>0.7</v>
      </c>
      <c r="D26" s="323"/>
      <c r="E26" s="324"/>
      <c r="F26" s="119"/>
      <c r="G26" s="296"/>
      <c r="H26" s="341"/>
      <c r="I26" s="118" t="s">
        <v>107</v>
      </c>
      <c r="J26" s="323">
        <v>0.5</v>
      </c>
      <c r="K26" s="323"/>
      <c r="L26" s="324"/>
      <c r="M26" s="120"/>
      <c r="N26" s="296"/>
      <c r="O26" s="341"/>
      <c r="P26" s="118" t="s">
        <v>107</v>
      </c>
      <c r="Q26" s="323">
        <v>0.5</v>
      </c>
      <c r="R26" s="323"/>
      <c r="S26" s="324"/>
      <c r="T26" s="297"/>
      <c r="U26" s="296"/>
      <c r="V26" s="341"/>
      <c r="W26" s="118" t="s">
        <v>107</v>
      </c>
      <c r="X26" s="323">
        <v>0.5</v>
      </c>
      <c r="Y26" s="323"/>
      <c r="Z26" s="324"/>
      <c r="AA26" s="298"/>
      <c r="AB26" s="296"/>
      <c r="AC26" s="341"/>
      <c r="AD26" s="118" t="s">
        <v>107</v>
      </c>
      <c r="AE26" s="323">
        <v>0.5</v>
      </c>
      <c r="AF26" s="323"/>
      <c r="AG26" s="336"/>
      <c r="AH26" s="122"/>
      <c r="AI26" s="123"/>
      <c r="AJ26" s="117">
        <f aca="true" t="shared" si="3" ref="AJ26:AJ31">(C26+J26+Q26+X26+AE26)/5</f>
        <v>0.54</v>
      </c>
      <c r="AK26" s="117">
        <f aca="true" t="shared" si="4" ref="AK26:AK31">(AE26+X26+Q26+J26+C26)/4</f>
        <v>0.675</v>
      </c>
    </row>
    <row r="27" spans="1:37" s="65" customFormat="1" ht="18.75" customHeight="1">
      <c r="A27" s="338"/>
      <c r="B27" s="124" t="s">
        <v>108</v>
      </c>
      <c r="C27" s="323">
        <v>0.2</v>
      </c>
      <c r="D27" s="323"/>
      <c r="E27" s="324"/>
      <c r="F27" s="119"/>
      <c r="G27" s="296"/>
      <c r="H27" s="341"/>
      <c r="I27" s="124" t="s">
        <v>108</v>
      </c>
      <c r="J27" s="323">
        <v>0.6</v>
      </c>
      <c r="K27" s="323"/>
      <c r="L27" s="324"/>
      <c r="M27" s="120"/>
      <c r="N27" s="296"/>
      <c r="O27" s="341"/>
      <c r="P27" s="124" t="s">
        <v>108</v>
      </c>
      <c r="Q27" s="323">
        <v>0.5</v>
      </c>
      <c r="R27" s="323"/>
      <c r="S27" s="324"/>
      <c r="T27" s="297"/>
      <c r="U27" s="296"/>
      <c r="V27" s="341"/>
      <c r="W27" s="124" t="s">
        <v>108</v>
      </c>
      <c r="X27" s="323">
        <v>0.2</v>
      </c>
      <c r="Y27" s="323"/>
      <c r="Z27" s="324"/>
      <c r="AA27" s="298"/>
      <c r="AB27" s="296"/>
      <c r="AC27" s="341"/>
      <c r="AD27" s="124" t="s">
        <v>108</v>
      </c>
      <c r="AE27" s="323">
        <v>0.6</v>
      </c>
      <c r="AF27" s="323"/>
      <c r="AG27" s="336"/>
      <c r="AH27" s="122"/>
      <c r="AI27" s="123"/>
      <c r="AJ27" s="117">
        <f t="shared" si="3"/>
        <v>0.42000000000000004</v>
      </c>
      <c r="AK27" s="117">
        <f t="shared" si="4"/>
        <v>0.525</v>
      </c>
    </row>
    <row r="28" spans="1:37" s="65" customFormat="1" ht="18.75" customHeight="1">
      <c r="A28" s="338"/>
      <c r="B28" s="125" t="s">
        <v>109</v>
      </c>
      <c r="C28" s="323">
        <v>0.5</v>
      </c>
      <c r="D28" s="323"/>
      <c r="E28" s="324"/>
      <c r="F28" s="119"/>
      <c r="G28" s="296"/>
      <c r="H28" s="341"/>
      <c r="I28" s="125" t="s">
        <v>109</v>
      </c>
      <c r="J28" s="323">
        <v>0.5</v>
      </c>
      <c r="K28" s="323"/>
      <c r="L28" s="324"/>
      <c r="M28" s="120"/>
      <c r="N28" s="296"/>
      <c r="O28" s="341"/>
      <c r="P28" s="125" t="s">
        <v>109</v>
      </c>
      <c r="Q28" s="323">
        <v>0.5</v>
      </c>
      <c r="R28" s="323"/>
      <c r="S28" s="324"/>
      <c r="T28" s="297"/>
      <c r="U28" s="296"/>
      <c r="V28" s="341"/>
      <c r="W28" s="125" t="s">
        <v>110</v>
      </c>
      <c r="X28" s="323">
        <v>0.5</v>
      </c>
      <c r="Y28" s="323"/>
      <c r="Z28" s="324"/>
      <c r="AA28" s="298"/>
      <c r="AB28" s="296"/>
      <c r="AC28" s="341"/>
      <c r="AD28" s="125" t="s">
        <v>109</v>
      </c>
      <c r="AE28" s="323">
        <v>0.5</v>
      </c>
      <c r="AF28" s="323"/>
      <c r="AG28" s="336"/>
      <c r="AH28" s="122"/>
      <c r="AI28" s="123"/>
      <c r="AJ28" s="117">
        <f t="shared" si="3"/>
        <v>0.5</v>
      </c>
      <c r="AK28" s="117">
        <f t="shared" si="4"/>
        <v>0.625</v>
      </c>
    </row>
    <row r="29" spans="1:37" s="65" customFormat="1" ht="18.75" customHeight="1">
      <c r="A29" s="338"/>
      <c r="B29" s="118" t="s">
        <v>111</v>
      </c>
      <c r="C29" s="323">
        <v>1</v>
      </c>
      <c r="D29" s="323"/>
      <c r="E29" s="324"/>
      <c r="F29" s="119"/>
      <c r="G29" s="296"/>
      <c r="H29" s="341"/>
      <c r="I29" s="118" t="s">
        <v>111</v>
      </c>
      <c r="J29" s="323">
        <v>0</v>
      </c>
      <c r="K29" s="323"/>
      <c r="L29" s="324"/>
      <c r="M29" s="120"/>
      <c r="N29" s="296"/>
      <c r="O29" s="341"/>
      <c r="P29" s="118" t="s">
        <v>111</v>
      </c>
      <c r="Q29" s="323">
        <v>1</v>
      </c>
      <c r="R29" s="323"/>
      <c r="S29" s="324"/>
      <c r="T29" s="297"/>
      <c r="U29" s="296"/>
      <c r="V29" s="341"/>
      <c r="W29" s="118" t="s">
        <v>111</v>
      </c>
      <c r="X29" s="323">
        <v>1</v>
      </c>
      <c r="Y29" s="323"/>
      <c r="Z29" s="324"/>
      <c r="AA29" s="298"/>
      <c r="AB29" s="296"/>
      <c r="AC29" s="341"/>
      <c r="AD29" s="118" t="s">
        <v>111</v>
      </c>
      <c r="AE29" s="323">
        <v>0.5</v>
      </c>
      <c r="AF29" s="323"/>
      <c r="AG29" s="336"/>
      <c r="AH29" s="122"/>
      <c r="AI29" s="123"/>
      <c r="AJ29" s="117">
        <f t="shared" si="3"/>
        <v>0.7</v>
      </c>
      <c r="AK29" s="117">
        <f t="shared" si="4"/>
        <v>0.875</v>
      </c>
    </row>
    <row r="30" spans="1:37" s="65" customFormat="1" ht="18.75" customHeight="1">
      <c r="A30" s="338"/>
      <c r="B30" s="118" t="s">
        <v>112</v>
      </c>
      <c r="C30" s="323">
        <v>0.6</v>
      </c>
      <c r="D30" s="323"/>
      <c r="E30" s="324"/>
      <c r="F30" s="119"/>
      <c r="G30" s="296"/>
      <c r="H30" s="341"/>
      <c r="I30" s="118" t="s">
        <v>112</v>
      </c>
      <c r="J30" s="323">
        <v>0.4</v>
      </c>
      <c r="K30" s="323"/>
      <c r="L30" s="324"/>
      <c r="M30" s="126"/>
      <c r="N30" s="296"/>
      <c r="O30" s="341"/>
      <c r="P30" s="118" t="s">
        <v>112</v>
      </c>
      <c r="Q30" s="323">
        <v>0.6</v>
      </c>
      <c r="R30" s="323"/>
      <c r="S30" s="324"/>
      <c r="T30" s="297"/>
      <c r="U30" s="296"/>
      <c r="V30" s="341"/>
      <c r="W30" s="118" t="s">
        <v>112</v>
      </c>
      <c r="X30" s="323">
        <v>0.3</v>
      </c>
      <c r="Y30" s="323"/>
      <c r="Z30" s="324"/>
      <c r="AA30" s="298"/>
      <c r="AB30" s="296"/>
      <c r="AC30" s="341"/>
      <c r="AD30" s="118" t="s">
        <v>112</v>
      </c>
      <c r="AE30" s="323">
        <v>0.5</v>
      </c>
      <c r="AF30" s="323"/>
      <c r="AG30" s="336"/>
      <c r="AH30" s="122"/>
      <c r="AI30" s="123"/>
      <c r="AJ30" s="117">
        <f t="shared" si="3"/>
        <v>0.4800000000000001</v>
      </c>
      <c r="AK30" s="117">
        <f t="shared" si="4"/>
        <v>0.6</v>
      </c>
    </row>
    <row r="31" spans="1:37" s="65" customFormat="1" ht="18.75" customHeight="1" thickBot="1">
      <c r="A31" s="339"/>
      <c r="B31" s="127" t="s">
        <v>113</v>
      </c>
      <c r="C31" s="332">
        <f>C25*70+C26*75+C27*25+C28*45+C30*120+C29*60</f>
        <v>352</v>
      </c>
      <c r="D31" s="332"/>
      <c r="E31" s="333"/>
      <c r="F31" s="128"/>
      <c r="G31" s="129"/>
      <c r="H31" s="342"/>
      <c r="I31" s="127" t="s">
        <v>113</v>
      </c>
      <c r="J31" s="332">
        <f>J25*70+J26*75+J27*25+J28*45+J30*120+J29*60</f>
        <v>277</v>
      </c>
      <c r="K31" s="332"/>
      <c r="L31" s="333"/>
      <c r="M31" s="130"/>
      <c r="N31" s="129"/>
      <c r="O31" s="342"/>
      <c r="P31" s="127" t="s">
        <v>113</v>
      </c>
      <c r="Q31" s="332">
        <f>Q25*70+Q26*75+Q27*25+Q28*45+Q30*120+Q29*60</f>
        <v>344.5</v>
      </c>
      <c r="R31" s="332"/>
      <c r="S31" s="333"/>
      <c r="T31" s="221"/>
      <c r="U31" s="129"/>
      <c r="V31" s="342"/>
      <c r="W31" s="127" t="s">
        <v>113</v>
      </c>
      <c r="X31" s="332">
        <f>X25*70+X26*75+X27*25+X28*45+X30*120+X29*60</f>
        <v>336</v>
      </c>
      <c r="Y31" s="332"/>
      <c r="Z31" s="333"/>
      <c r="AA31" s="132"/>
      <c r="AB31" s="129"/>
      <c r="AC31" s="342"/>
      <c r="AD31" s="127" t="s">
        <v>113</v>
      </c>
      <c r="AE31" s="332">
        <f>AE25*70+AE26*75+AE27*25+AE28*45+AE30*120+AE29*60</f>
        <v>305</v>
      </c>
      <c r="AF31" s="332"/>
      <c r="AG31" s="334"/>
      <c r="AH31" s="133"/>
      <c r="AI31" s="134"/>
      <c r="AJ31" s="117">
        <f t="shared" si="3"/>
        <v>322.9</v>
      </c>
      <c r="AK31" s="117">
        <f t="shared" si="4"/>
        <v>403.625</v>
      </c>
    </row>
    <row r="32" spans="1:34" s="78" customFormat="1" ht="18.75" customHeight="1">
      <c r="A32" s="135"/>
      <c r="D32" s="136"/>
      <c r="E32" s="136"/>
      <c r="F32" s="137"/>
      <c r="H32" s="138"/>
      <c r="K32" s="136"/>
      <c r="L32" s="136"/>
      <c r="M32" s="137"/>
      <c r="O32" s="139"/>
      <c r="P32" s="135"/>
      <c r="Q32" s="135"/>
      <c r="R32" s="140"/>
      <c r="S32" s="140"/>
      <c r="T32" s="137"/>
      <c r="V32" s="138"/>
      <c r="W32" s="135"/>
      <c r="X32" s="135"/>
      <c r="Y32" s="140"/>
      <c r="Z32" s="140"/>
      <c r="AA32" s="137"/>
      <c r="AC32" s="135"/>
      <c r="AF32" s="136"/>
      <c r="AG32" s="136"/>
      <c r="AH32" s="137"/>
    </row>
    <row r="33" spans="1:42" s="78" customFormat="1" ht="19.5" customHeight="1">
      <c r="A33" s="335" t="s">
        <v>114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141"/>
      <c r="AJ33" s="143"/>
      <c r="AK33" s="143"/>
      <c r="AL33" s="142"/>
      <c r="AM33" s="142"/>
      <c r="AN33" s="142"/>
      <c r="AO33" s="142"/>
      <c r="AP33" s="142"/>
    </row>
    <row r="34" spans="1:42" s="78" customFormat="1" ht="22.5" customHeight="1">
      <c r="A34" s="331" t="s">
        <v>115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141"/>
      <c r="AJ34" s="143"/>
      <c r="AK34" s="143"/>
      <c r="AL34" s="142"/>
      <c r="AM34" s="142"/>
      <c r="AN34" s="142"/>
      <c r="AO34" s="142"/>
      <c r="AP34" s="142"/>
    </row>
  </sheetData>
  <sheetProtection selectLockedCells="1" selectUnlockedCells="1"/>
  <mergeCells count="86">
    <mergeCell ref="A1:N1"/>
    <mergeCell ref="AC5:AG5"/>
    <mergeCell ref="V5:Z5"/>
    <mergeCell ref="P2:S2"/>
    <mergeCell ref="A5:E5"/>
    <mergeCell ref="H5:L5"/>
    <mergeCell ref="O5:S5"/>
    <mergeCell ref="AC2:AC4"/>
    <mergeCell ref="AD2:AG2"/>
    <mergeCell ref="AD4:AG4"/>
    <mergeCell ref="B4:E4"/>
    <mergeCell ref="I4:L4"/>
    <mergeCell ref="P4:S4"/>
    <mergeCell ref="W4:Z4"/>
    <mergeCell ref="V2:V4"/>
    <mergeCell ref="W2:Z2"/>
    <mergeCell ref="O2:O4"/>
    <mergeCell ref="P1:AD1"/>
    <mergeCell ref="A6:A15"/>
    <mergeCell ref="H6:H15"/>
    <mergeCell ref="O6:O15"/>
    <mergeCell ref="V6:V15"/>
    <mergeCell ref="AC6:AC15"/>
    <mergeCell ref="A2:A4"/>
    <mergeCell ref="B2:E2"/>
    <mergeCell ref="I2:L2"/>
    <mergeCell ref="H2:H4"/>
    <mergeCell ref="A16:E16"/>
    <mergeCell ref="H16:L16"/>
    <mergeCell ref="O16:S16"/>
    <mergeCell ref="V16:Z16"/>
    <mergeCell ref="AC16:AG16"/>
    <mergeCell ref="A17:A24"/>
    <mergeCell ref="H17:H24"/>
    <mergeCell ref="O17:O24"/>
    <mergeCell ref="V17:V24"/>
    <mergeCell ref="AC17:AC24"/>
    <mergeCell ref="C25:E25"/>
    <mergeCell ref="F25:G25"/>
    <mergeCell ref="H25:H31"/>
    <mergeCell ref="J25:L25"/>
    <mergeCell ref="M25:N25"/>
    <mergeCell ref="C27:E27"/>
    <mergeCell ref="C28:E28"/>
    <mergeCell ref="J28:L28"/>
    <mergeCell ref="J27:L27"/>
    <mergeCell ref="AH25:AI25"/>
    <mergeCell ref="C26:E26"/>
    <mergeCell ref="J26:L26"/>
    <mergeCell ref="Q26:S26"/>
    <mergeCell ref="X26:Z26"/>
    <mergeCell ref="AE26:AG26"/>
    <mergeCell ref="T25:U25"/>
    <mergeCell ref="V25:V31"/>
    <mergeCell ref="X25:Z25"/>
    <mergeCell ref="AA25:AB25"/>
    <mergeCell ref="X28:Z28"/>
    <mergeCell ref="AE28:AG28"/>
    <mergeCell ref="AC25:AC31"/>
    <mergeCell ref="AE25:AG25"/>
    <mergeCell ref="O25:O31"/>
    <mergeCell ref="Q25:S25"/>
    <mergeCell ref="X30:Z30"/>
    <mergeCell ref="AE30:AG30"/>
    <mergeCell ref="Q27:S27"/>
    <mergeCell ref="AE27:AG27"/>
    <mergeCell ref="Q30:S30"/>
    <mergeCell ref="AE31:AG31"/>
    <mergeCell ref="A33:AH33"/>
    <mergeCell ref="C29:E29"/>
    <mergeCell ref="J29:L29"/>
    <mergeCell ref="Q29:S29"/>
    <mergeCell ref="X29:Z29"/>
    <mergeCell ref="AE29:AG29"/>
    <mergeCell ref="C30:E30"/>
    <mergeCell ref="A25:A31"/>
    <mergeCell ref="X27:Z27"/>
    <mergeCell ref="Q28:S28"/>
    <mergeCell ref="I22:L22"/>
    <mergeCell ref="AD22:AG22"/>
    <mergeCell ref="A34:AH34"/>
    <mergeCell ref="C31:E31"/>
    <mergeCell ref="J31:L31"/>
    <mergeCell ref="Q31:S31"/>
    <mergeCell ref="X31:Z31"/>
    <mergeCell ref="J30:L30"/>
  </mergeCells>
  <printOptions/>
  <pageMargins left="0.2362204724409449" right="0.15748031496062992" top="0.35433070866141736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2"/>
  <sheetViews>
    <sheetView view="pageBreakPreview" zoomScale="75" zoomScaleNormal="75" zoomScaleSheetLayoutView="75" zoomScalePageLayoutView="0" workbookViewId="0" topLeftCell="A1">
      <selection activeCell="I2" sqref="I2:L2"/>
    </sheetView>
  </sheetViews>
  <sheetFormatPr defaultColWidth="6.125" defaultRowHeight="22.5" customHeight="1"/>
  <cols>
    <col min="1" max="1" width="3.75390625" style="144" customWidth="1"/>
    <col min="2" max="2" width="17.25390625" style="145" customWidth="1"/>
    <col min="3" max="3" width="6.125" style="145" hidden="1" customWidth="1"/>
    <col min="4" max="5" width="5.625" style="145" customWidth="1"/>
    <col min="6" max="6" width="6.125" style="146" hidden="1" customWidth="1"/>
    <col min="7" max="7" width="6.125" style="147" hidden="1" customWidth="1"/>
    <col min="8" max="8" width="3.625" style="144" customWidth="1"/>
    <col min="9" max="9" width="15.875" style="145" customWidth="1"/>
    <col min="10" max="10" width="6.125" style="145" hidden="1" customWidth="1"/>
    <col min="11" max="12" width="5.625" style="145" customWidth="1"/>
    <col min="13" max="13" width="6.125" style="146" hidden="1" customWidth="1"/>
    <col min="14" max="14" width="6.125" style="147" hidden="1" customWidth="1"/>
    <col min="15" max="15" width="3.875" style="144" customWidth="1"/>
    <col min="16" max="16" width="16.375" style="145" customWidth="1"/>
    <col min="17" max="17" width="6.125" style="145" hidden="1" customWidth="1"/>
    <col min="18" max="19" width="5.625" style="145" customWidth="1"/>
    <col min="20" max="20" width="6.125" style="146" hidden="1" customWidth="1"/>
    <col min="21" max="21" width="6.125" style="147" hidden="1" customWidth="1"/>
    <col min="22" max="22" width="3.625" style="148" customWidth="1"/>
    <col min="23" max="23" width="16.125" style="145" customWidth="1"/>
    <col min="24" max="24" width="6.125" style="145" hidden="1" customWidth="1"/>
    <col min="25" max="25" width="5.625" style="145" customWidth="1"/>
    <col min="26" max="26" width="5.375" style="145" customWidth="1"/>
    <col min="27" max="27" width="6.125" style="146" hidden="1" customWidth="1"/>
    <col min="28" max="28" width="6.125" style="147" hidden="1" customWidth="1"/>
    <col min="29" max="29" width="4.125" style="144" customWidth="1"/>
    <col min="30" max="30" width="16.125" style="145" customWidth="1"/>
    <col min="31" max="31" width="6.125" style="145" hidden="1" customWidth="1"/>
    <col min="32" max="33" width="5.625" style="145" customWidth="1"/>
    <col min="34" max="34" width="6.125" style="149" hidden="1" customWidth="1"/>
    <col min="35" max="35" width="6.125" style="147" hidden="1" customWidth="1"/>
    <col min="36" max="36" width="11.00390625" style="150" customWidth="1"/>
    <col min="37" max="37" width="8.00390625" style="150" bestFit="1" customWidth="1"/>
    <col min="38" max="16384" width="6.125" style="150" customWidth="1"/>
  </cols>
  <sheetData>
    <row r="1" spans="1:41" s="52" customFormat="1" ht="30" customHeight="1">
      <c r="A1" s="409" t="str">
        <f>'[2]第一周'!A1</f>
        <v>僑愛國民小學附幼111學年度下學期第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N1" s="53"/>
      <c r="O1" s="65">
        <f>'[2]第一周'!O1+1</f>
        <v>17</v>
      </c>
      <c r="P1" s="360" t="str">
        <f>'[2]第一周'!P1</f>
        <v>週點心食譜設計表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53">
        <v>72</v>
      </c>
      <c r="AF1" s="53">
        <v>72</v>
      </c>
      <c r="AG1" s="53"/>
      <c r="AH1" s="53"/>
      <c r="AI1" s="53"/>
      <c r="AK1" s="53"/>
      <c r="AL1" s="53"/>
      <c r="AM1" s="53"/>
      <c r="AN1" s="53"/>
      <c r="AO1" s="54"/>
    </row>
    <row r="2" spans="1:35" s="65" customFormat="1" ht="18.75" customHeight="1">
      <c r="A2" s="366" t="s">
        <v>0</v>
      </c>
      <c r="B2" s="368">
        <f>'[2]第一周'!B2+7</f>
        <v>45082</v>
      </c>
      <c r="C2" s="368"/>
      <c r="D2" s="368"/>
      <c r="E2" s="368"/>
      <c r="F2" s="55"/>
      <c r="G2" s="56"/>
      <c r="H2" s="370" t="s">
        <v>0</v>
      </c>
      <c r="I2" s="369">
        <f>B2+1</f>
        <v>45083</v>
      </c>
      <c r="J2" s="369"/>
      <c r="K2" s="369"/>
      <c r="L2" s="369"/>
      <c r="M2" s="57"/>
      <c r="N2" s="58"/>
      <c r="O2" s="374" t="s">
        <v>0</v>
      </c>
      <c r="P2" s="381">
        <f>I2+1</f>
        <v>45084</v>
      </c>
      <c r="Q2" s="381"/>
      <c r="R2" s="381"/>
      <c r="S2" s="381"/>
      <c r="T2" s="59"/>
      <c r="U2" s="60"/>
      <c r="V2" s="374" t="s">
        <v>0</v>
      </c>
      <c r="W2" s="376">
        <f>P2+1</f>
        <v>45085</v>
      </c>
      <c r="X2" s="376"/>
      <c r="Y2" s="376"/>
      <c r="Z2" s="376"/>
      <c r="AA2" s="61"/>
      <c r="AB2" s="62"/>
      <c r="AC2" s="374" t="s">
        <v>0</v>
      </c>
      <c r="AD2" s="384">
        <f>W2+1</f>
        <v>45086</v>
      </c>
      <c r="AE2" s="384"/>
      <c r="AF2" s="384"/>
      <c r="AG2" s="385"/>
      <c r="AH2" s="63"/>
      <c r="AI2" s="64"/>
    </row>
    <row r="3" spans="1:35" s="65" customFormat="1" ht="18.75" customHeight="1">
      <c r="A3" s="367"/>
      <c r="B3" s="16" t="s">
        <v>1</v>
      </c>
      <c r="C3" s="16" t="s">
        <v>25</v>
      </c>
      <c r="D3" s="309" t="s">
        <v>2</v>
      </c>
      <c r="E3" s="309" t="s">
        <v>3</v>
      </c>
      <c r="F3" s="66" t="s">
        <v>4</v>
      </c>
      <c r="G3" s="67" t="s">
        <v>5</v>
      </c>
      <c r="H3" s="371"/>
      <c r="I3" s="67" t="s">
        <v>1</v>
      </c>
      <c r="J3" s="67" t="s">
        <v>25</v>
      </c>
      <c r="K3" s="68" t="s">
        <v>2</v>
      </c>
      <c r="L3" s="68" t="s">
        <v>3</v>
      </c>
      <c r="M3" s="66" t="s">
        <v>4</v>
      </c>
      <c r="N3" s="69" t="s">
        <v>5</v>
      </c>
      <c r="O3" s="375"/>
      <c r="P3" s="67" t="s">
        <v>1</v>
      </c>
      <c r="Q3" s="67" t="s">
        <v>25</v>
      </c>
      <c r="R3" s="68" t="s">
        <v>2</v>
      </c>
      <c r="S3" s="68" t="s">
        <v>3</v>
      </c>
      <c r="T3" s="66" t="s">
        <v>4</v>
      </c>
      <c r="U3" s="69" t="s">
        <v>5</v>
      </c>
      <c r="V3" s="375"/>
      <c r="W3" s="67" t="s">
        <v>1</v>
      </c>
      <c r="X3" s="67" t="s">
        <v>25</v>
      </c>
      <c r="Y3" s="68" t="s">
        <v>2</v>
      </c>
      <c r="Z3" s="68" t="s">
        <v>3</v>
      </c>
      <c r="AA3" s="66" t="s">
        <v>4</v>
      </c>
      <c r="AB3" s="69" t="s">
        <v>5</v>
      </c>
      <c r="AC3" s="375"/>
      <c r="AD3" s="67" t="s">
        <v>1</v>
      </c>
      <c r="AE3" s="67" t="s">
        <v>25</v>
      </c>
      <c r="AF3" s="68" t="s">
        <v>2</v>
      </c>
      <c r="AG3" s="70" t="s">
        <v>3</v>
      </c>
      <c r="AH3" s="71" t="s">
        <v>4</v>
      </c>
      <c r="AI3" s="72" t="s">
        <v>5</v>
      </c>
    </row>
    <row r="4" spans="1:35" s="78" customFormat="1" ht="18.75" customHeight="1" hidden="1">
      <c r="A4" s="367"/>
      <c r="B4" s="372" t="s">
        <v>6</v>
      </c>
      <c r="C4" s="372"/>
      <c r="D4" s="372"/>
      <c r="E4" s="372"/>
      <c r="F4" s="73"/>
      <c r="G4" s="74"/>
      <c r="H4" s="371"/>
      <c r="I4" s="373" t="s">
        <v>7</v>
      </c>
      <c r="J4" s="373"/>
      <c r="K4" s="373"/>
      <c r="L4" s="373"/>
      <c r="M4" s="73"/>
      <c r="N4" s="75"/>
      <c r="O4" s="375"/>
      <c r="P4" s="373" t="s">
        <v>8</v>
      </c>
      <c r="Q4" s="373"/>
      <c r="R4" s="373"/>
      <c r="S4" s="373"/>
      <c r="T4" s="66"/>
      <c r="U4" s="76"/>
      <c r="V4" s="375"/>
      <c r="W4" s="373" t="s">
        <v>9</v>
      </c>
      <c r="X4" s="373"/>
      <c r="Y4" s="373"/>
      <c r="Z4" s="373"/>
      <c r="AA4" s="73"/>
      <c r="AB4" s="75"/>
      <c r="AC4" s="375"/>
      <c r="AD4" s="386" t="s">
        <v>26</v>
      </c>
      <c r="AE4" s="386"/>
      <c r="AF4" s="386"/>
      <c r="AG4" s="387"/>
      <c r="AH4" s="73"/>
      <c r="AI4" s="77"/>
    </row>
    <row r="5" spans="1:35" s="78" customFormat="1" ht="18.75" customHeight="1">
      <c r="A5" s="382" t="s">
        <v>10</v>
      </c>
      <c r="B5" s="379"/>
      <c r="C5" s="379"/>
      <c r="D5" s="379"/>
      <c r="E5" s="379"/>
      <c r="F5" s="79"/>
      <c r="G5" s="80"/>
      <c r="H5" s="383" t="s">
        <v>10</v>
      </c>
      <c r="I5" s="379"/>
      <c r="J5" s="379"/>
      <c r="K5" s="379"/>
      <c r="L5" s="379"/>
      <c r="M5" s="79"/>
      <c r="N5" s="81"/>
      <c r="O5" s="378" t="s">
        <v>10</v>
      </c>
      <c r="P5" s="379"/>
      <c r="Q5" s="379"/>
      <c r="R5" s="379"/>
      <c r="S5" s="379"/>
      <c r="T5" s="79"/>
      <c r="U5" s="81"/>
      <c r="V5" s="378" t="s">
        <v>10</v>
      </c>
      <c r="W5" s="379"/>
      <c r="X5" s="379"/>
      <c r="Y5" s="379"/>
      <c r="Z5" s="379"/>
      <c r="AA5" s="79"/>
      <c r="AB5" s="81"/>
      <c r="AC5" s="378" t="s">
        <v>10</v>
      </c>
      <c r="AD5" s="379"/>
      <c r="AE5" s="379"/>
      <c r="AF5" s="379"/>
      <c r="AG5" s="380"/>
      <c r="AH5" s="73"/>
      <c r="AI5" s="77"/>
    </row>
    <row r="6" spans="1:42" s="78" customFormat="1" ht="18.75" customHeight="1">
      <c r="A6" s="356" t="s">
        <v>243</v>
      </c>
      <c r="B6" s="50" t="s">
        <v>286</v>
      </c>
      <c r="C6" s="50">
        <v>0.5</v>
      </c>
      <c r="D6" s="82">
        <f>ROUND($AE$1*C6/10,0)</f>
        <v>4</v>
      </c>
      <c r="E6" s="89" t="s">
        <v>11</v>
      </c>
      <c r="F6" s="84">
        <v>102</v>
      </c>
      <c r="G6" s="37">
        <f>D6*F6</f>
        <v>408</v>
      </c>
      <c r="H6" s="351" t="s">
        <v>264</v>
      </c>
      <c r="I6" s="27" t="s">
        <v>216</v>
      </c>
      <c r="J6" s="50">
        <v>75</v>
      </c>
      <c r="K6" s="82">
        <f>ROUND($AE$1*J6/1000,0)</f>
        <v>5</v>
      </c>
      <c r="L6" s="82" t="s">
        <v>11</v>
      </c>
      <c r="M6" s="194">
        <v>38</v>
      </c>
      <c r="N6" s="37">
        <f aca="true" t="shared" si="0" ref="N6:N16">K6*M6</f>
        <v>190</v>
      </c>
      <c r="O6" s="359" t="s">
        <v>239</v>
      </c>
      <c r="P6" s="50" t="s">
        <v>88</v>
      </c>
      <c r="Q6" s="50">
        <v>10</v>
      </c>
      <c r="R6" s="180">
        <f>ROUND($AE$1*Q6/1000,1)</f>
        <v>0.7</v>
      </c>
      <c r="S6" s="310" t="s">
        <v>11</v>
      </c>
      <c r="T6" s="276">
        <v>150</v>
      </c>
      <c r="U6" s="37">
        <f aca="true" t="shared" si="1" ref="U6:U15">R6*T6</f>
        <v>105</v>
      </c>
      <c r="V6" s="356" t="s">
        <v>134</v>
      </c>
      <c r="W6" s="50" t="s">
        <v>287</v>
      </c>
      <c r="X6" s="50">
        <v>0.8</v>
      </c>
      <c r="Y6" s="82">
        <v>12</v>
      </c>
      <c r="Z6" s="82" t="s">
        <v>14</v>
      </c>
      <c r="AA6" s="276">
        <v>35</v>
      </c>
      <c r="AB6" s="37">
        <f aca="true" t="shared" si="2" ref="AB6:AB13">Y6*AA6</f>
        <v>420</v>
      </c>
      <c r="AC6" s="356" t="s">
        <v>240</v>
      </c>
      <c r="AD6" s="50" t="s">
        <v>136</v>
      </c>
      <c r="AE6" s="50">
        <v>75</v>
      </c>
      <c r="AF6" s="82">
        <f>ROUND($AE$1*AE6/1000,0)</f>
        <v>5</v>
      </c>
      <c r="AG6" s="89" t="s">
        <v>11</v>
      </c>
      <c r="AH6" s="276">
        <v>38</v>
      </c>
      <c r="AI6" s="37">
        <f aca="true" t="shared" si="3" ref="AI6:AI13">AF6*AH6</f>
        <v>190</v>
      </c>
      <c r="AL6" s="356" t="s">
        <v>135</v>
      </c>
      <c r="AM6" s="50" t="s">
        <v>136</v>
      </c>
      <c r="AN6" s="50">
        <v>75</v>
      </c>
      <c r="AO6" s="82">
        <f>ROUND($AE$1*AN6/1000,0)</f>
        <v>5</v>
      </c>
      <c r="AP6" s="82" t="s">
        <v>11</v>
      </c>
    </row>
    <row r="7" spans="1:52" s="78" customFormat="1" ht="18.75" customHeight="1">
      <c r="A7" s="357"/>
      <c r="B7" s="50" t="s">
        <v>21</v>
      </c>
      <c r="C7" s="50">
        <v>14</v>
      </c>
      <c r="D7" s="82">
        <f>ROUND($AE$1*C7/1000,1)</f>
        <v>1</v>
      </c>
      <c r="E7" s="89" t="s">
        <v>11</v>
      </c>
      <c r="F7" s="84">
        <v>69</v>
      </c>
      <c r="G7" s="37">
        <f>D7*F7</f>
        <v>69</v>
      </c>
      <c r="H7" s="352"/>
      <c r="I7" s="27" t="s">
        <v>73</v>
      </c>
      <c r="J7" s="27">
        <v>16.5</v>
      </c>
      <c r="K7" s="102">
        <v>3</v>
      </c>
      <c r="L7" s="92" t="s">
        <v>11</v>
      </c>
      <c r="M7" s="194">
        <v>203</v>
      </c>
      <c r="N7" s="37">
        <f t="shared" si="0"/>
        <v>609</v>
      </c>
      <c r="O7" s="398"/>
      <c r="P7" s="50" t="s">
        <v>31</v>
      </c>
      <c r="Q7" s="50">
        <v>12</v>
      </c>
      <c r="R7" s="82">
        <f>ROUND($AF$1*Q7/300,0)</f>
        <v>3</v>
      </c>
      <c r="S7" s="89" t="s">
        <v>16</v>
      </c>
      <c r="T7" s="276">
        <v>65</v>
      </c>
      <c r="U7" s="37">
        <f>R7*T7</f>
        <v>195</v>
      </c>
      <c r="V7" s="357"/>
      <c r="W7" s="50" t="s">
        <v>288</v>
      </c>
      <c r="X7" s="50">
        <v>0.8</v>
      </c>
      <c r="Y7" s="82">
        <v>4</v>
      </c>
      <c r="Z7" s="310" t="s">
        <v>11</v>
      </c>
      <c r="AA7" s="276">
        <v>102</v>
      </c>
      <c r="AB7" s="37">
        <f t="shared" si="2"/>
        <v>408</v>
      </c>
      <c r="AC7" s="357"/>
      <c r="AD7" s="50" t="s">
        <v>241</v>
      </c>
      <c r="AE7" s="88">
        <v>26.5</v>
      </c>
      <c r="AF7" s="82" t="s">
        <v>15</v>
      </c>
      <c r="AG7" s="89" t="s">
        <v>11</v>
      </c>
      <c r="AH7" s="276"/>
      <c r="AI7" s="37"/>
      <c r="AL7" s="357"/>
      <c r="AM7" s="50" t="s">
        <v>138</v>
      </c>
      <c r="AN7" s="88">
        <v>26.5</v>
      </c>
      <c r="AO7" s="82">
        <v>3</v>
      </c>
      <c r="AP7" s="82" t="s">
        <v>11</v>
      </c>
      <c r="AV7" s="356" t="s">
        <v>133</v>
      </c>
      <c r="AW7" s="50" t="s">
        <v>77</v>
      </c>
      <c r="AX7" s="50">
        <v>0.5</v>
      </c>
      <c r="AY7" s="82">
        <v>3</v>
      </c>
      <c r="AZ7" s="102" t="s">
        <v>24</v>
      </c>
    </row>
    <row r="8" spans="1:52" s="78" customFormat="1" ht="18.75" customHeight="1">
      <c r="A8" s="357"/>
      <c r="B8" s="50" t="s">
        <v>244</v>
      </c>
      <c r="C8" s="86">
        <v>1.11</v>
      </c>
      <c r="D8" s="82">
        <v>2</v>
      </c>
      <c r="E8" s="87" t="s">
        <v>14</v>
      </c>
      <c r="F8" s="84">
        <v>148</v>
      </c>
      <c r="G8" s="37">
        <f>D8*F8</f>
        <v>296</v>
      </c>
      <c r="H8" s="352"/>
      <c r="I8" s="27" t="s">
        <v>76</v>
      </c>
      <c r="J8" s="27">
        <v>8</v>
      </c>
      <c r="K8" s="82">
        <f>ROUND($AE$1*J8/1000,1)</f>
        <v>0.6</v>
      </c>
      <c r="L8" s="92" t="s">
        <v>11</v>
      </c>
      <c r="M8" s="194">
        <v>115</v>
      </c>
      <c r="N8" s="37">
        <f t="shared" si="0"/>
        <v>69</v>
      </c>
      <c r="O8" s="398"/>
      <c r="P8" s="50" t="s">
        <v>289</v>
      </c>
      <c r="Q8" s="50">
        <v>0.1</v>
      </c>
      <c r="R8" s="82">
        <v>0.7</v>
      </c>
      <c r="S8" s="89" t="s">
        <v>42</v>
      </c>
      <c r="T8" s="276">
        <v>102</v>
      </c>
      <c r="U8" s="37">
        <f>R8*T8</f>
        <v>71.39999999999999</v>
      </c>
      <c r="V8" s="357"/>
      <c r="W8" s="50" t="s">
        <v>225</v>
      </c>
      <c r="X8" s="50">
        <v>5</v>
      </c>
      <c r="Y8" s="82">
        <f>ROUND($AE$1*X8/90,0)</f>
        <v>4</v>
      </c>
      <c r="Z8" s="82" t="s">
        <v>16</v>
      </c>
      <c r="AA8" s="276">
        <v>72</v>
      </c>
      <c r="AB8" s="37">
        <f t="shared" si="2"/>
        <v>288</v>
      </c>
      <c r="AC8" s="357"/>
      <c r="AD8" s="88" t="s">
        <v>28</v>
      </c>
      <c r="AE8" s="88">
        <v>1</v>
      </c>
      <c r="AF8" s="82" t="s">
        <v>15</v>
      </c>
      <c r="AG8" s="89" t="s">
        <v>11</v>
      </c>
      <c r="AH8" s="276"/>
      <c r="AI8" s="37"/>
      <c r="AL8" s="357"/>
      <c r="AM8" s="88" t="s">
        <v>28</v>
      </c>
      <c r="AN8" s="88">
        <v>1</v>
      </c>
      <c r="AO8" s="82" t="s">
        <v>15</v>
      </c>
      <c r="AP8" s="82" t="s">
        <v>11</v>
      </c>
      <c r="AV8" s="357"/>
      <c r="AW8" s="50" t="s">
        <v>137</v>
      </c>
      <c r="AX8" s="50">
        <v>0.5</v>
      </c>
      <c r="AY8" s="82">
        <f>ROUND($AE$1*AX8/12,0)</f>
        <v>3</v>
      </c>
      <c r="AZ8" s="102" t="s">
        <v>14</v>
      </c>
    </row>
    <row r="9" spans="1:52" s="78" customFormat="1" ht="18.75" customHeight="1">
      <c r="A9" s="357"/>
      <c r="B9" s="50" t="s">
        <v>290</v>
      </c>
      <c r="C9" s="86"/>
      <c r="D9" s="82"/>
      <c r="E9" s="87"/>
      <c r="F9" s="84"/>
      <c r="G9" s="37"/>
      <c r="H9" s="352"/>
      <c r="I9" s="27" t="s">
        <v>80</v>
      </c>
      <c r="J9" s="27">
        <v>8.5</v>
      </c>
      <c r="K9" s="82">
        <f>ROUND($AE$1*J9/1000,1)</f>
        <v>0.6</v>
      </c>
      <c r="L9" s="92" t="s">
        <v>11</v>
      </c>
      <c r="M9" s="194">
        <v>52</v>
      </c>
      <c r="N9" s="37">
        <f t="shared" si="0"/>
        <v>31.2</v>
      </c>
      <c r="O9" s="398"/>
      <c r="P9" s="50" t="s">
        <v>21</v>
      </c>
      <c r="Q9" s="50">
        <v>16</v>
      </c>
      <c r="R9" s="82">
        <f>ROUND($AE$1*Q9/1000,1)</f>
        <v>1.2</v>
      </c>
      <c r="S9" s="89" t="s">
        <v>11</v>
      </c>
      <c r="T9" s="276">
        <v>69</v>
      </c>
      <c r="U9" s="37">
        <f t="shared" si="1"/>
        <v>82.8</v>
      </c>
      <c r="V9" s="357"/>
      <c r="W9" s="50"/>
      <c r="X9" s="50"/>
      <c r="Y9" s="82"/>
      <c r="Z9" s="82"/>
      <c r="AA9" s="276"/>
      <c r="AB9" s="37">
        <f t="shared" si="2"/>
        <v>0</v>
      </c>
      <c r="AC9" s="357"/>
      <c r="AD9" s="50" t="s">
        <v>58</v>
      </c>
      <c r="AE9" s="88">
        <v>17</v>
      </c>
      <c r="AF9" s="82">
        <f>ROUND($AE$1*AE9/1000,1)</f>
        <v>1.2</v>
      </c>
      <c r="AG9" s="89" t="s">
        <v>11</v>
      </c>
      <c r="AH9" s="276">
        <v>63</v>
      </c>
      <c r="AI9" s="37">
        <f t="shared" si="3"/>
        <v>75.6</v>
      </c>
      <c r="AL9" s="357"/>
      <c r="AM9" s="50" t="s">
        <v>58</v>
      </c>
      <c r="AN9" s="88">
        <v>17</v>
      </c>
      <c r="AO9" s="82">
        <f>ROUND($AE$1*AN9/1000,1)</f>
        <v>1.2</v>
      </c>
      <c r="AP9" s="82" t="s">
        <v>11</v>
      </c>
      <c r="AV9" s="357"/>
      <c r="AW9" s="50" t="s">
        <v>70</v>
      </c>
      <c r="AX9" s="86">
        <v>1.3</v>
      </c>
      <c r="AY9" s="82">
        <v>2</v>
      </c>
      <c r="AZ9" s="87" t="s">
        <v>71</v>
      </c>
    </row>
    <row r="10" spans="1:52" s="78" customFormat="1" ht="18.75" customHeight="1">
      <c r="A10" s="357"/>
      <c r="F10" s="84"/>
      <c r="G10" s="37"/>
      <c r="H10" s="352"/>
      <c r="I10" s="27" t="s">
        <v>82</v>
      </c>
      <c r="J10" s="27">
        <v>2.5</v>
      </c>
      <c r="K10" s="102" t="s">
        <v>15</v>
      </c>
      <c r="L10" s="92" t="s">
        <v>11</v>
      </c>
      <c r="M10" s="194"/>
      <c r="N10" s="37"/>
      <c r="O10" s="398"/>
      <c r="P10" s="50" t="s">
        <v>85</v>
      </c>
      <c r="Q10" s="50">
        <v>1.5</v>
      </c>
      <c r="R10" s="82" t="s">
        <v>15</v>
      </c>
      <c r="S10" s="89" t="s">
        <v>11</v>
      </c>
      <c r="T10" s="276"/>
      <c r="U10" s="37"/>
      <c r="V10" s="357"/>
      <c r="W10" s="311" t="s">
        <v>234</v>
      </c>
      <c r="X10" s="293">
        <v>128</v>
      </c>
      <c r="Y10" s="82">
        <f>ROUND($AE$1*X10/1000,0)</f>
        <v>9</v>
      </c>
      <c r="Z10" s="82" t="s">
        <v>13</v>
      </c>
      <c r="AA10" s="276">
        <v>77</v>
      </c>
      <c r="AB10" s="37">
        <f t="shared" si="2"/>
        <v>693</v>
      </c>
      <c r="AC10" s="357"/>
      <c r="AD10" s="88" t="s">
        <v>54</v>
      </c>
      <c r="AE10" s="88">
        <v>33</v>
      </c>
      <c r="AF10" s="82">
        <f>ROUND($AE$1*AE10/1000,1)</f>
        <v>2.4</v>
      </c>
      <c r="AG10" s="89" t="s">
        <v>11</v>
      </c>
      <c r="AH10" s="276">
        <v>55</v>
      </c>
      <c r="AI10" s="37">
        <f t="shared" si="3"/>
        <v>132</v>
      </c>
      <c r="AL10" s="357"/>
      <c r="AM10" s="88" t="s">
        <v>54</v>
      </c>
      <c r="AN10" s="88">
        <v>33</v>
      </c>
      <c r="AO10" s="82">
        <f>ROUND($AE$1*AN10/1000,1)</f>
        <v>2.4</v>
      </c>
      <c r="AP10" s="82" t="s">
        <v>11</v>
      </c>
      <c r="AQ10" s="50">
        <v>62</v>
      </c>
      <c r="AR10" s="82">
        <v>0.9</v>
      </c>
      <c r="AS10" s="89" t="s">
        <v>11</v>
      </c>
      <c r="AV10" s="357"/>
      <c r="AW10" s="50" t="s">
        <v>75</v>
      </c>
      <c r="AX10" s="86">
        <v>1.3</v>
      </c>
      <c r="AY10" s="82">
        <v>2</v>
      </c>
      <c r="AZ10" s="87" t="s">
        <v>71</v>
      </c>
    </row>
    <row r="11" spans="1:48" s="78" customFormat="1" ht="18.75" customHeight="1">
      <c r="A11" s="357"/>
      <c r="B11" s="104" t="s">
        <v>102</v>
      </c>
      <c r="C11" s="293">
        <v>128</v>
      </c>
      <c r="D11" s="82">
        <f>ROUND($AE$1*C11/1000,0)</f>
        <v>9</v>
      </c>
      <c r="E11" s="105" t="s">
        <v>13</v>
      </c>
      <c r="F11" s="84">
        <v>96</v>
      </c>
      <c r="G11" s="37">
        <f>D11*F11</f>
        <v>864</v>
      </c>
      <c r="H11" s="352"/>
      <c r="I11" s="27" t="s">
        <v>84</v>
      </c>
      <c r="J11" s="27">
        <v>0.5</v>
      </c>
      <c r="K11" s="102" t="s">
        <v>15</v>
      </c>
      <c r="L11" s="92" t="s">
        <v>11</v>
      </c>
      <c r="M11" s="194"/>
      <c r="N11" s="37"/>
      <c r="O11" s="398"/>
      <c r="P11" s="27" t="s">
        <v>73</v>
      </c>
      <c r="Q11" s="27">
        <v>16.5</v>
      </c>
      <c r="R11" s="102" t="s">
        <v>15</v>
      </c>
      <c r="S11" s="92" t="s">
        <v>11</v>
      </c>
      <c r="T11" s="276"/>
      <c r="U11" s="37"/>
      <c r="V11" s="357"/>
      <c r="W11" s="50"/>
      <c r="X11" s="50"/>
      <c r="Y11" s="102"/>
      <c r="Z11" s="82"/>
      <c r="AA11" s="276"/>
      <c r="AB11" s="37">
        <f t="shared" si="2"/>
        <v>0</v>
      </c>
      <c r="AC11" s="357"/>
      <c r="AD11" s="88" t="s">
        <v>85</v>
      </c>
      <c r="AE11" s="88">
        <v>3</v>
      </c>
      <c r="AF11" s="82" t="s">
        <v>15</v>
      </c>
      <c r="AG11" s="89" t="s">
        <v>11</v>
      </c>
      <c r="AH11" s="276"/>
      <c r="AI11" s="37"/>
      <c r="AL11" s="357"/>
      <c r="AM11" s="88" t="s">
        <v>85</v>
      </c>
      <c r="AN11" s="88">
        <v>3</v>
      </c>
      <c r="AO11" s="82" t="s">
        <v>15</v>
      </c>
      <c r="AP11" s="82" t="s">
        <v>11</v>
      </c>
      <c r="AQ11" s="50">
        <v>23</v>
      </c>
      <c r="AR11" s="82">
        <v>1.5</v>
      </c>
      <c r="AS11" s="89" t="s">
        <v>11</v>
      </c>
      <c r="AV11" s="357"/>
    </row>
    <row r="12" spans="1:52" s="65" customFormat="1" ht="18.75" customHeight="1">
      <c r="A12" s="357"/>
      <c r="B12" s="27"/>
      <c r="C12" s="27"/>
      <c r="D12" s="92"/>
      <c r="E12" s="47"/>
      <c r="F12" s="84"/>
      <c r="G12" s="37"/>
      <c r="H12" s="352"/>
      <c r="I12" s="27" t="s">
        <v>139</v>
      </c>
      <c r="J12" s="27">
        <v>30</v>
      </c>
      <c r="K12" s="82">
        <f>ROUND($AE$1*J12/1000,1)</f>
        <v>2.2</v>
      </c>
      <c r="L12" s="92" t="s">
        <v>11</v>
      </c>
      <c r="M12" s="194"/>
      <c r="N12" s="37"/>
      <c r="O12" s="398"/>
      <c r="P12" s="103" t="s">
        <v>19</v>
      </c>
      <c r="Q12" s="50">
        <v>10</v>
      </c>
      <c r="R12" s="82">
        <f>ROUND($AE$1*Q12/1000,1)</f>
        <v>0.7</v>
      </c>
      <c r="S12" s="89" t="s">
        <v>11</v>
      </c>
      <c r="T12" s="276">
        <v>52</v>
      </c>
      <c r="U12" s="37">
        <f t="shared" si="1"/>
        <v>36.4</v>
      </c>
      <c r="V12" s="357"/>
      <c r="AA12" s="276"/>
      <c r="AB12" s="37">
        <f t="shared" si="2"/>
        <v>0</v>
      </c>
      <c r="AC12" s="357"/>
      <c r="AD12" s="50" t="s">
        <v>44</v>
      </c>
      <c r="AE12" s="50">
        <v>3</v>
      </c>
      <c r="AF12" s="82">
        <f>ROUND($AE$1*AE12/1000,1)</f>
        <v>0.2</v>
      </c>
      <c r="AG12" s="89" t="s">
        <v>11</v>
      </c>
      <c r="AH12" s="276">
        <v>73</v>
      </c>
      <c r="AI12" s="37">
        <f t="shared" si="3"/>
        <v>14.600000000000001</v>
      </c>
      <c r="AL12" s="357"/>
      <c r="AM12" s="50" t="s">
        <v>44</v>
      </c>
      <c r="AN12" s="50">
        <v>3</v>
      </c>
      <c r="AO12" s="82">
        <f>ROUND($AE$1*AN12/1000,1)</f>
        <v>0.2</v>
      </c>
      <c r="AP12" s="82" t="s">
        <v>11</v>
      </c>
      <c r="AQ12" s="50">
        <v>1.5</v>
      </c>
      <c r="AR12" s="82">
        <v>0.1</v>
      </c>
      <c r="AS12" s="89" t="s">
        <v>11</v>
      </c>
      <c r="AV12" s="357"/>
      <c r="AW12" s="104" t="s">
        <v>102</v>
      </c>
      <c r="AX12" s="25">
        <v>150</v>
      </c>
      <c r="AY12" s="50">
        <f>ROUND($AE$1*AX12/1000,0)</f>
        <v>11</v>
      </c>
      <c r="AZ12" s="105" t="s">
        <v>13</v>
      </c>
    </row>
    <row r="13" spans="1:52" s="78" customFormat="1" ht="18.75" customHeight="1">
      <c r="A13" s="357"/>
      <c r="B13" s="50"/>
      <c r="C13" s="50"/>
      <c r="D13" s="82"/>
      <c r="E13" s="82"/>
      <c r="F13" s="84"/>
      <c r="G13" s="37"/>
      <c r="H13" s="352"/>
      <c r="I13" s="33" t="s">
        <v>91</v>
      </c>
      <c r="J13" s="33">
        <v>10</v>
      </c>
      <c r="K13" s="82">
        <f>ROUND($AE$1*J13/1000,1)</f>
        <v>0.7</v>
      </c>
      <c r="L13" s="92" t="s">
        <v>11</v>
      </c>
      <c r="M13" s="194">
        <v>63</v>
      </c>
      <c r="N13" s="37">
        <f t="shared" si="0"/>
        <v>44.099999999999994</v>
      </c>
      <c r="O13" s="398"/>
      <c r="P13" s="103" t="s">
        <v>140</v>
      </c>
      <c r="Q13" s="103">
        <v>40</v>
      </c>
      <c r="R13" s="82" t="s">
        <v>15</v>
      </c>
      <c r="S13" s="89" t="s">
        <v>11</v>
      </c>
      <c r="T13" s="276"/>
      <c r="U13" s="37"/>
      <c r="V13" s="357"/>
      <c r="W13" s="50"/>
      <c r="X13" s="50"/>
      <c r="Y13" s="82"/>
      <c r="Z13" s="82"/>
      <c r="AA13" s="276"/>
      <c r="AB13" s="37">
        <f t="shared" si="2"/>
        <v>0</v>
      </c>
      <c r="AC13" s="357"/>
      <c r="AD13" s="50" t="s">
        <v>242</v>
      </c>
      <c r="AE13" s="88">
        <v>14</v>
      </c>
      <c r="AF13" s="82">
        <f>ROUND($AE$1*AE13/1000,1)</f>
        <v>1</v>
      </c>
      <c r="AG13" s="89" t="s">
        <v>11</v>
      </c>
      <c r="AH13" s="276">
        <v>260</v>
      </c>
      <c r="AI13" s="37">
        <f t="shared" si="3"/>
        <v>260</v>
      </c>
      <c r="AL13" s="357"/>
      <c r="AM13" s="50"/>
      <c r="AN13" s="50"/>
      <c r="AO13" s="82"/>
      <c r="AP13" s="82"/>
      <c r="AQ13" s="182">
        <v>18</v>
      </c>
      <c r="AR13" s="82">
        <v>1.5</v>
      </c>
      <c r="AS13" s="89" t="s">
        <v>11</v>
      </c>
      <c r="AV13" s="357"/>
      <c r="AW13" s="27"/>
      <c r="AX13" s="27"/>
      <c r="AY13" s="92"/>
      <c r="AZ13" s="47"/>
    </row>
    <row r="14" spans="1:52" s="78" customFormat="1" ht="18.75" customHeight="1">
      <c r="A14" s="357"/>
      <c r="B14" s="88"/>
      <c r="C14" s="88"/>
      <c r="D14" s="82"/>
      <c r="E14" s="82"/>
      <c r="F14" s="84"/>
      <c r="G14" s="37"/>
      <c r="H14" s="352"/>
      <c r="I14" s="33"/>
      <c r="J14" s="33"/>
      <c r="K14" s="82"/>
      <c r="L14" s="92"/>
      <c r="M14" s="194"/>
      <c r="N14" s="37">
        <f t="shared" si="0"/>
        <v>0</v>
      </c>
      <c r="O14" s="398"/>
      <c r="P14" s="50"/>
      <c r="Q14" s="103"/>
      <c r="R14" s="82"/>
      <c r="S14" s="89"/>
      <c r="T14" s="276"/>
      <c r="U14" s="37">
        <f t="shared" si="1"/>
        <v>0</v>
      </c>
      <c r="V14" s="357"/>
      <c r="W14" s="88"/>
      <c r="X14" s="88"/>
      <c r="Y14" s="82"/>
      <c r="Z14" s="82"/>
      <c r="AA14" s="276"/>
      <c r="AB14" s="179">
        <f>Y14*AA14</f>
        <v>0</v>
      </c>
      <c r="AC14" s="357"/>
      <c r="AD14" s="103"/>
      <c r="AE14" s="103"/>
      <c r="AF14" s="82"/>
      <c r="AG14" s="89"/>
      <c r="AH14" s="276"/>
      <c r="AI14" s="312">
        <f>AF14*AH14</f>
        <v>0</v>
      </c>
      <c r="AL14" s="357"/>
      <c r="AM14" s="103"/>
      <c r="AN14" s="103"/>
      <c r="AO14" s="82"/>
      <c r="AP14" s="82"/>
      <c r="AQ14" s="88">
        <v>19</v>
      </c>
      <c r="AR14" s="82">
        <v>1.2</v>
      </c>
      <c r="AS14" s="82" t="s">
        <v>11</v>
      </c>
      <c r="AV14" s="357"/>
      <c r="AW14" s="50"/>
      <c r="AX14" s="50"/>
      <c r="AY14" s="82"/>
      <c r="AZ14" s="82"/>
    </row>
    <row r="15" spans="1:52" s="78" customFormat="1" ht="18.75" customHeight="1">
      <c r="A15" s="357"/>
      <c r="B15" s="88"/>
      <c r="C15" s="88"/>
      <c r="D15" s="82"/>
      <c r="E15" s="82"/>
      <c r="F15" s="84"/>
      <c r="G15" s="37"/>
      <c r="H15" s="352"/>
      <c r="I15" s="33"/>
      <c r="J15" s="33"/>
      <c r="K15" s="92"/>
      <c r="L15" s="92"/>
      <c r="M15" s="194"/>
      <c r="N15" s="37">
        <f t="shared" si="0"/>
        <v>0</v>
      </c>
      <c r="O15" s="398"/>
      <c r="P15" s="50"/>
      <c r="Q15" s="50"/>
      <c r="R15" s="82"/>
      <c r="S15" s="89"/>
      <c r="T15" s="276"/>
      <c r="U15" s="37">
        <f t="shared" si="1"/>
        <v>0</v>
      </c>
      <c r="V15" s="357"/>
      <c r="W15" s="88"/>
      <c r="X15" s="88"/>
      <c r="Y15" s="82"/>
      <c r="Z15" s="82"/>
      <c r="AA15" s="276"/>
      <c r="AB15" s="179">
        <f>Y15*AA15</f>
        <v>0</v>
      </c>
      <c r="AC15" s="357"/>
      <c r="AD15" s="103"/>
      <c r="AE15" s="103"/>
      <c r="AF15" s="82"/>
      <c r="AG15" s="89"/>
      <c r="AH15" s="276"/>
      <c r="AI15" s="312">
        <f>AF15*AH15</f>
        <v>0</v>
      </c>
      <c r="AL15" s="357"/>
      <c r="AM15" s="103"/>
      <c r="AN15" s="103"/>
      <c r="AO15" s="82"/>
      <c r="AP15" s="82"/>
      <c r="AQ15" s="50"/>
      <c r="AR15" s="82">
        <v>0.5</v>
      </c>
      <c r="AS15" s="82" t="s">
        <v>11</v>
      </c>
      <c r="AV15" s="357"/>
      <c r="AW15" s="88"/>
      <c r="AX15" s="88"/>
      <c r="AY15" s="82"/>
      <c r="AZ15" s="82"/>
    </row>
    <row r="16" spans="1:52" s="78" customFormat="1" ht="18.75" customHeight="1">
      <c r="A16" s="391"/>
      <c r="B16" s="50"/>
      <c r="C16" s="50"/>
      <c r="D16" s="82"/>
      <c r="E16" s="82"/>
      <c r="F16" s="84"/>
      <c r="G16" s="37"/>
      <c r="H16" s="413"/>
      <c r="I16" s="27"/>
      <c r="J16" s="27"/>
      <c r="K16" s="92"/>
      <c r="L16" s="92"/>
      <c r="M16" s="194"/>
      <c r="N16" s="37">
        <f t="shared" si="0"/>
        <v>0</v>
      </c>
      <c r="O16" s="399"/>
      <c r="P16" s="50"/>
      <c r="Q16" s="50"/>
      <c r="R16" s="82"/>
      <c r="S16" s="89"/>
      <c r="T16" s="276"/>
      <c r="U16" s="37"/>
      <c r="V16" s="391"/>
      <c r="W16" s="50"/>
      <c r="X16" s="50"/>
      <c r="Y16" s="82"/>
      <c r="Z16" s="82"/>
      <c r="AA16" s="276"/>
      <c r="AB16" s="179"/>
      <c r="AC16" s="391"/>
      <c r="AD16" s="103"/>
      <c r="AE16" s="103"/>
      <c r="AF16" s="82"/>
      <c r="AG16" s="89"/>
      <c r="AH16" s="276"/>
      <c r="AI16" s="312"/>
      <c r="AL16" s="391"/>
      <c r="AM16" s="103"/>
      <c r="AN16" s="103"/>
      <c r="AO16" s="82"/>
      <c r="AP16" s="82"/>
      <c r="AQ16" s="27">
        <v>8</v>
      </c>
      <c r="AR16" s="92">
        <f>ROUND($AE$1*AQ16/1000,1)</f>
        <v>0.6</v>
      </c>
      <c r="AS16" s="47" t="s">
        <v>11</v>
      </c>
      <c r="AV16" s="357"/>
      <c r="AW16" s="88"/>
      <c r="AX16" s="88"/>
      <c r="AY16" s="82"/>
      <c r="AZ16" s="82"/>
    </row>
    <row r="17" spans="1:52" s="78" customFormat="1" ht="18.75" customHeight="1">
      <c r="A17" s="396" t="s">
        <v>12</v>
      </c>
      <c r="B17" s="379"/>
      <c r="C17" s="379"/>
      <c r="D17" s="379"/>
      <c r="E17" s="380"/>
      <c r="F17" s="79"/>
      <c r="G17" s="80"/>
      <c r="H17" s="414" t="s">
        <v>12</v>
      </c>
      <c r="I17" s="379"/>
      <c r="J17" s="379"/>
      <c r="K17" s="379"/>
      <c r="L17" s="380"/>
      <c r="M17" s="79"/>
      <c r="N17" s="81"/>
      <c r="O17" s="382" t="s">
        <v>12</v>
      </c>
      <c r="P17" s="379"/>
      <c r="Q17" s="379"/>
      <c r="R17" s="379"/>
      <c r="S17" s="379"/>
      <c r="T17" s="79"/>
      <c r="U17" s="81"/>
      <c r="V17" s="392" t="s">
        <v>12</v>
      </c>
      <c r="W17" s="393"/>
      <c r="X17" s="393"/>
      <c r="Y17" s="393"/>
      <c r="Z17" s="393"/>
      <c r="AA17" s="79"/>
      <c r="AB17" s="183"/>
      <c r="AC17" s="414" t="s">
        <v>12</v>
      </c>
      <c r="AD17" s="379"/>
      <c r="AE17" s="379"/>
      <c r="AF17" s="379"/>
      <c r="AG17" s="380"/>
      <c r="AH17" s="79"/>
      <c r="AI17" s="184"/>
      <c r="AL17" s="392" t="s">
        <v>12</v>
      </c>
      <c r="AM17" s="393"/>
      <c r="AN17" s="393"/>
      <c r="AO17" s="393"/>
      <c r="AP17" s="393"/>
      <c r="AQ17" s="50"/>
      <c r="AR17" s="82"/>
      <c r="AS17" s="82"/>
      <c r="AV17" s="391"/>
      <c r="AW17" s="50"/>
      <c r="AX17" s="50"/>
      <c r="AY17" s="82"/>
      <c r="AZ17" s="82"/>
    </row>
    <row r="18" spans="1:52" s="78" customFormat="1" ht="18.75" customHeight="1">
      <c r="A18" s="356" t="s">
        <v>245</v>
      </c>
      <c r="B18" s="50" t="s">
        <v>142</v>
      </c>
      <c r="C18" s="50">
        <v>16</v>
      </c>
      <c r="D18" s="82">
        <f>ROUND($AE$1*C18/1000,1)</f>
        <v>1.2</v>
      </c>
      <c r="E18" s="89" t="s">
        <v>11</v>
      </c>
      <c r="F18" s="178">
        <v>66</v>
      </c>
      <c r="G18" s="25">
        <f aca="true" t="shared" si="4" ref="G18:G25">D18*F18</f>
        <v>79.2</v>
      </c>
      <c r="H18" s="410" t="s">
        <v>145</v>
      </c>
      <c r="I18" s="25" t="s">
        <v>291</v>
      </c>
      <c r="J18" s="25">
        <v>40</v>
      </c>
      <c r="K18" s="92">
        <f>ROUND($AE$1*J18/1000,0)</f>
        <v>3</v>
      </c>
      <c r="L18" s="92" t="s">
        <v>11</v>
      </c>
      <c r="M18" s="276"/>
      <c r="N18" s="25">
        <f aca="true" t="shared" si="5" ref="N18:N25">K18*M18</f>
        <v>0</v>
      </c>
      <c r="O18" s="358" t="s">
        <v>146</v>
      </c>
      <c r="P18" s="104" t="s">
        <v>102</v>
      </c>
      <c r="Q18" s="25">
        <v>128</v>
      </c>
      <c r="R18" s="50" t="s">
        <v>15</v>
      </c>
      <c r="S18" s="105" t="s">
        <v>13</v>
      </c>
      <c r="T18" s="178"/>
      <c r="U18" s="105"/>
      <c r="V18" s="390" t="s">
        <v>237</v>
      </c>
      <c r="W18" s="185" t="s">
        <v>144</v>
      </c>
      <c r="X18" s="185">
        <v>50</v>
      </c>
      <c r="Y18" s="92">
        <f>ROUND($AE$1*X18/1000,1)</f>
        <v>3.6</v>
      </c>
      <c r="Z18" s="186" t="s">
        <v>11</v>
      </c>
      <c r="AA18" s="276">
        <v>70</v>
      </c>
      <c r="AB18" s="37">
        <f aca="true" t="shared" si="6" ref="AB18:AB25">Y18*AA18</f>
        <v>252</v>
      </c>
      <c r="AC18" s="351" t="s">
        <v>127</v>
      </c>
      <c r="AD18" s="25" t="s">
        <v>101</v>
      </c>
      <c r="AE18" s="25">
        <v>48</v>
      </c>
      <c r="AF18" s="92">
        <f>ROUND($AE$1*AE18/1000,)</f>
        <v>3</v>
      </c>
      <c r="AG18" s="47" t="s">
        <v>11</v>
      </c>
      <c r="AH18" s="178"/>
      <c r="AI18" s="76">
        <f aca="true" t="shared" si="7" ref="AI18:AI25">AF18*AH18</f>
        <v>0</v>
      </c>
      <c r="AL18" s="390" t="s">
        <v>143</v>
      </c>
      <c r="AM18" s="185" t="s">
        <v>144</v>
      </c>
      <c r="AN18" s="185">
        <v>50</v>
      </c>
      <c r="AO18" s="92">
        <f>ROUND($AE$1*AN18/1000,1)</f>
        <v>3.6</v>
      </c>
      <c r="AP18" s="186" t="s">
        <v>11</v>
      </c>
      <c r="AQ18" s="88"/>
      <c r="AR18" s="82"/>
      <c r="AS18" s="82"/>
      <c r="AV18" s="396" t="s">
        <v>12</v>
      </c>
      <c r="AW18" s="379"/>
      <c r="AX18" s="379"/>
      <c r="AY18" s="379"/>
      <c r="AZ18" s="380"/>
    </row>
    <row r="19" spans="1:52" s="78" customFormat="1" ht="18.75" customHeight="1">
      <c r="A19" s="357"/>
      <c r="B19" s="50" t="s">
        <v>17</v>
      </c>
      <c r="C19" s="50">
        <v>12</v>
      </c>
      <c r="D19" s="82">
        <v>0.6</v>
      </c>
      <c r="E19" s="89" t="s">
        <v>11</v>
      </c>
      <c r="F19" s="178">
        <v>102</v>
      </c>
      <c r="G19" s="25">
        <f t="shared" si="4"/>
        <v>61.199999999999996</v>
      </c>
      <c r="H19" s="411"/>
      <c r="I19" s="25" t="s">
        <v>98</v>
      </c>
      <c r="J19" s="25">
        <v>50</v>
      </c>
      <c r="K19" s="92">
        <f>ROUND($AE$1*J19/1000,0)</f>
        <v>4</v>
      </c>
      <c r="L19" s="92" t="s">
        <v>11</v>
      </c>
      <c r="M19" s="276"/>
      <c r="N19" s="25">
        <f t="shared" si="5"/>
        <v>0</v>
      </c>
      <c r="O19" s="358"/>
      <c r="P19" s="50" t="s">
        <v>148</v>
      </c>
      <c r="Q19" s="50">
        <v>15</v>
      </c>
      <c r="R19" s="102" t="s">
        <v>15</v>
      </c>
      <c r="S19" s="89" t="s">
        <v>65</v>
      </c>
      <c r="T19" s="178"/>
      <c r="U19" s="105"/>
      <c r="V19" s="394"/>
      <c r="W19" s="88" t="s">
        <v>147</v>
      </c>
      <c r="X19" s="88">
        <v>20</v>
      </c>
      <c r="Y19" s="92">
        <f>ROUND($AE$1*X19/600,0)</f>
        <v>2</v>
      </c>
      <c r="Z19" s="186" t="s">
        <v>14</v>
      </c>
      <c r="AA19" s="276">
        <v>58</v>
      </c>
      <c r="AB19" s="37">
        <f t="shared" si="6"/>
        <v>116</v>
      </c>
      <c r="AC19" s="352"/>
      <c r="AD19" s="25" t="s">
        <v>43</v>
      </c>
      <c r="AE19" s="25">
        <v>48</v>
      </c>
      <c r="AF19" s="92">
        <f>ROUND($AE$1*AE19/1000,)</f>
        <v>3</v>
      </c>
      <c r="AG19" s="47" t="s">
        <v>11</v>
      </c>
      <c r="AH19" s="178"/>
      <c r="AI19" s="76">
        <f t="shared" si="7"/>
        <v>0</v>
      </c>
      <c r="AL19" s="394"/>
      <c r="AM19" s="88" t="s">
        <v>147</v>
      </c>
      <c r="AN19" s="88">
        <v>20</v>
      </c>
      <c r="AO19" s="92">
        <f>ROUND($AE$1*AN19/600,0)</f>
        <v>2</v>
      </c>
      <c r="AP19" s="186" t="s">
        <v>14</v>
      </c>
      <c r="AQ19" s="88"/>
      <c r="AR19" s="82"/>
      <c r="AS19" s="82"/>
      <c r="AV19" s="356" t="s">
        <v>141</v>
      </c>
      <c r="AW19" s="50" t="s">
        <v>142</v>
      </c>
      <c r="AX19" s="50">
        <v>37</v>
      </c>
      <c r="AY19" s="82">
        <f>ROUND($AE$1*AX19/1000,1)</f>
        <v>2.7</v>
      </c>
      <c r="AZ19" s="89" t="s">
        <v>11</v>
      </c>
    </row>
    <row r="20" spans="1:52" s="78" customFormat="1" ht="18.75" customHeight="1">
      <c r="A20" s="357"/>
      <c r="B20" s="50" t="s">
        <v>149</v>
      </c>
      <c r="C20" s="50">
        <v>5</v>
      </c>
      <c r="D20" s="82">
        <f>ROUND($AE$1*C20/1000,1)</f>
        <v>0.4</v>
      </c>
      <c r="E20" s="89" t="s">
        <v>11</v>
      </c>
      <c r="F20" s="178">
        <v>150</v>
      </c>
      <c r="G20" s="25">
        <f t="shared" si="4"/>
        <v>60</v>
      </c>
      <c r="H20" s="411"/>
      <c r="I20" s="25" t="s">
        <v>20</v>
      </c>
      <c r="J20" s="25">
        <v>40</v>
      </c>
      <c r="K20" s="92">
        <f>ROUND($AE$1*J20/1000,0)</f>
        <v>3</v>
      </c>
      <c r="L20" s="92" t="s">
        <v>11</v>
      </c>
      <c r="M20" s="276"/>
      <c r="N20" s="25">
        <f t="shared" si="5"/>
        <v>0</v>
      </c>
      <c r="O20" s="358"/>
      <c r="P20" s="98" t="s">
        <v>151</v>
      </c>
      <c r="Q20" s="98"/>
      <c r="R20" s="102">
        <v>1</v>
      </c>
      <c r="S20" s="89" t="s">
        <v>14</v>
      </c>
      <c r="T20" s="178">
        <v>44</v>
      </c>
      <c r="U20" s="105">
        <f aca="true" t="shared" si="8" ref="U20:U25">R20*T20</f>
        <v>44</v>
      </c>
      <c r="V20" s="394"/>
      <c r="W20" s="88" t="s">
        <v>150</v>
      </c>
      <c r="X20" s="88">
        <v>2</v>
      </c>
      <c r="Y20" s="92">
        <f>ROUND($AE$1*X20/1000,1)</f>
        <v>0.1</v>
      </c>
      <c r="Z20" s="89" t="s">
        <v>11</v>
      </c>
      <c r="AA20" s="276">
        <v>73</v>
      </c>
      <c r="AB20" s="37">
        <f t="shared" si="6"/>
        <v>7.300000000000001</v>
      </c>
      <c r="AC20" s="352"/>
      <c r="AD20" s="25" t="s">
        <v>236</v>
      </c>
      <c r="AE20" s="25">
        <v>48</v>
      </c>
      <c r="AF20" s="92">
        <f>ROUND($AE$1*AE20/1500,)</f>
        <v>2</v>
      </c>
      <c r="AG20" s="47" t="s">
        <v>22</v>
      </c>
      <c r="AH20" s="178"/>
      <c r="AI20" s="76">
        <f t="shared" si="7"/>
        <v>0</v>
      </c>
      <c r="AL20" s="394"/>
      <c r="AM20" s="88" t="s">
        <v>150</v>
      </c>
      <c r="AN20" s="88">
        <v>2</v>
      </c>
      <c r="AO20" s="92">
        <f>ROUND($AE$1*AN20/1000,1)</f>
        <v>0.1</v>
      </c>
      <c r="AP20" s="89" t="s">
        <v>11</v>
      </c>
      <c r="AQ20" s="50"/>
      <c r="AR20" s="82"/>
      <c r="AS20" s="82"/>
      <c r="AV20" s="357"/>
      <c r="AW20" s="285" t="s">
        <v>77</v>
      </c>
      <c r="AX20" s="285">
        <v>12</v>
      </c>
      <c r="AY20" s="286">
        <v>1</v>
      </c>
      <c r="AZ20" s="287" t="s">
        <v>24</v>
      </c>
    </row>
    <row r="21" spans="1:52" s="78" customFormat="1" ht="18.75" customHeight="1">
      <c r="A21" s="357"/>
      <c r="B21" s="50" t="s">
        <v>19</v>
      </c>
      <c r="C21" s="50">
        <v>5</v>
      </c>
      <c r="D21" s="82">
        <f>ROUND($AE$1*C21/1000,1)</f>
        <v>0.4</v>
      </c>
      <c r="E21" s="89" t="s">
        <v>11</v>
      </c>
      <c r="F21" s="178">
        <v>62</v>
      </c>
      <c r="G21" s="25">
        <f t="shared" si="4"/>
        <v>24.8</v>
      </c>
      <c r="H21" s="411"/>
      <c r="I21" s="189"/>
      <c r="J21" s="189"/>
      <c r="K21" s="92"/>
      <c r="L21" s="92"/>
      <c r="M21" s="276"/>
      <c r="N21" s="25">
        <f t="shared" si="5"/>
        <v>0</v>
      </c>
      <c r="O21" s="358"/>
      <c r="P21" s="25" t="s">
        <v>227</v>
      </c>
      <c r="Q21" s="25">
        <v>55</v>
      </c>
      <c r="R21" s="92">
        <f>ROUND($AE$1*Q21/1000,0)</f>
        <v>4</v>
      </c>
      <c r="S21" s="92" t="s">
        <v>11</v>
      </c>
      <c r="T21" s="178"/>
      <c r="U21" s="105">
        <f t="shared" si="8"/>
        <v>0</v>
      </c>
      <c r="V21" s="394"/>
      <c r="W21" s="50" t="s">
        <v>235</v>
      </c>
      <c r="X21" s="88">
        <v>5</v>
      </c>
      <c r="Y21" s="92">
        <f>ROUND($AE$1*X21/1000,1)</f>
        <v>0.4</v>
      </c>
      <c r="Z21" s="89" t="s">
        <v>11</v>
      </c>
      <c r="AA21" s="276">
        <v>248</v>
      </c>
      <c r="AB21" s="37">
        <f t="shared" si="6"/>
        <v>99.2</v>
      </c>
      <c r="AC21" s="352"/>
      <c r="AD21" s="189"/>
      <c r="AE21" s="189"/>
      <c r="AF21" s="92"/>
      <c r="AG21" s="47"/>
      <c r="AH21" s="178"/>
      <c r="AI21" s="76">
        <f t="shared" si="7"/>
        <v>0</v>
      </c>
      <c r="AL21" s="394"/>
      <c r="AM21" s="50" t="s">
        <v>235</v>
      </c>
      <c r="AN21" s="88">
        <v>5</v>
      </c>
      <c r="AO21" s="92">
        <f>ROUND($AE$1*AN21/1000,1)</f>
        <v>0.4</v>
      </c>
      <c r="AP21" s="89" t="s">
        <v>11</v>
      </c>
      <c r="AV21" s="357"/>
      <c r="AW21" s="50" t="s">
        <v>149</v>
      </c>
      <c r="AX21" s="50">
        <v>5</v>
      </c>
      <c r="AY21" s="82">
        <f>ROUND($AE$1*AX21/1000,1)</f>
        <v>0.4</v>
      </c>
      <c r="AZ21" s="89" t="s">
        <v>11</v>
      </c>
    </row>
    <row r="22" spans="1:52" s="78" customFormat="1" ht="18.75" customHeight="1">
      <c r="A22" s="357"/>
      <c r="B22" s="50" t="s">
        <v>153</v>
      </c>
      <c r="C22" s="50">
        <v>4</v>
      </c>
      <c r="D22" s="82">
        <f>ROUND($AE$1*C22/1000,1)</f>
        <v>0.3</v>
      </c>
      <c r="E22" s="89" t="s">
        <v>11</v>
      </c>
      <c r="F22" s="178">
        <v>500</v>
      </c>
      <c r="G22" s="25">
        <f t="shared" si="4"/>
        <v>150</v>
      </c>
      <c r="H22" s="411"/>
      <c r="I22" s="104" t="s">
        <v>102</v>
      </c>
      <c r="J22" s="25">
        <v>128</v>
      </c>
      <c r="K22" s="50">
        <f>ROUND($AE$1*J22/1000,0)</f>
        <v>9</v>
      </c>
      <c r="L22" s="37" t="s">
        <v>13</v>
      </c>
      <c r="M22" s="276">
        <v>96</v>
      </c>
      <c r="N22" s="25">
        <f t="shared" si="5"/>
        <v>864</v>
      </c>
      <c r="O22" s="358"/>
      <c r="P22" s="295" t="s">
        <v>233</v>
      </c>
      <c r="Q22" s="190"/>
      <c r="R22" s="82"/>
      <c r="S22" s="87"/>
      <c r="T22" s="178"/>
      <c r="U22" s="105">
        <f t="shared" si="8"/>
        <v>0</v>
      </c>
      <c r="V22" s="394"/>
      <c r="W22" s="88" t="s">
        <v>154</v>
      </c>
      <c r="X22" s="88">
        <v>16</v>
      </c>
      <c r="Y22" s="92">
        <f>ROUND($AE$1*X22/1000,1)</f>
        <v>1.2</v>
      </c>
      <c r="Z22" s="89" t="s">
        <v>11</v>
      </c>
      <c r="AA22" s="276">
        <v>110</v>
      </c>
      <c r="AB22" s="37">
        <f t="shared" si="6"/>
        <v>132</v>
      </c>
      <c r="AC22" s="352"/>
      <c r="AD22" s="104" t="s">
        <v>102</v>
      </c>
      <c r="AE22" s="25">
        <v>128</v>
      </c>
      <c r="AF22" s="50" t="s">
        <v>15</v>
      </c>
      <c r="AG22" s="105" t="s">
        <v>13</v>
      </c>
      <c r="AH22" s="178"/>
      <c r="AI22" s="76"/>
      <c r="AL22" s="394"/>
      <c r="AM22" s="88" t="s">
        <v>154</v>
      </c>
      <c r="AN22" s="88">
        <v>16</v>
      </c>
      <c r="AO22" s="92">
        <f>ROUND($AE$1*AN22/1000,1)</f>
        <v>1.2</v>
      </c>
      <c r="AP22" s="89" t="s">
        <v>11</v>
      </c>
      <c r="AV22" s="357"/>
      <c r="AW22" s="50" t="s">
        <v>19</v>
      </c>
      <c r="AX22" s="50">
        <v>5</v>
      </c>
      <c r="AY22" s="82">
        <f>ROUND($AE$1*AX22/1000,1)</f>
        <v>0.4</v>
      </c>
      <c r="AZ22" s="89" t="s">
        <v>11</v>
      </c>
    </row>
    <row r="23" spans="1:52" s="78" customFormat="1" ht="18.75" customHeight="1">
      <c r="A23" s="357"/>
      <c r="B23" s="50" t="s">
        <v>155</v>
      </c>
      <c r="C23" s="50">
        <v>13</v>
      </c>
      <c r="D23" s="82">
        <v>2</v>
      </c>
      <c r="E23" s="87" t="s">
        <v>156</v>
      </c>
      <c r="F23" s="178">
        <v>18</v>
      </c>
      <c r="G23" s="25">
        <f t="shared" si="4"/>
        <v>36</v>
      </c>
      <c r="H23" s="411"/>
      <c r="I23" s="189"/>
      <c r="J23" s="189"/>
      <c r="K23" s="92"/>
      <c r="L23" s="92"/>
      <c r="M23" s="276"/>
      <c r="N23" s="25">
        <f t="shared" si="5"/>
        <v>0</v>
      </c>
      <c r="O23" s="358"/>
      <c r="P23" s="400" t="s">
        <v>157</v>
      </c>
      <c r="Q23" s="401"/>
      <c r="R23" s="401"/>
      <c r="S23" s="402"/>
      <c r="T23" s="178"/>
      <c r="U23" s="105">
        <f t="shared" si="8"/>
        <v>0</v>
      </c>
      <c r="V23" s="394"/>
      <c r="W23" s="85"/>
      <c r="X23" s="85"/>
      <c r="Y23" s="191"/>
      <c r="Z23" s="192"/>
      <c r="AA23" s="276"/>
      <c r="AB23" s="179">
        <f t="shared" si="6"/>
        <v>0</v>
      </c>
      <c r="AC23" s="352"/>
      <c r="AD23" s="295" t="s">
        <v>233</v>
      </c>
      <c r="AE23" s="101"/>
      <c r="AF23" s="82"/>
      <c r="AG23" s="89"/>
      <c r="AH23" s="178"/>
      <c r="AI23" s="76">
        <f t="shared" si="7"/>
        <v>0</v>
      </c>
      <c r="AL23" s="394"/>
      <c r="AM23" s="85"/>
      <c r="AN23" s="85"/>
      <c r="AO23" s="191"/>
      <c r="AP23" s="192"/>
      <c r="AV23" s="357"/>
      <c r="AW23" s="50" t="s">
        <v>153</v>
      </c>
      <c r="AX23" s="50">
        <v>4</v>
      </c>
      <c r="AY23" s="82">
        <f>ROUND($AE$1*AX23/1000,1)</f>
        <v>0.3</v>
      </c>
      <c r="AZ23" s="89" t="s">
        <v>11</v>
      </c>
    </row>
    <row r="24" spans="1:52" s="78" customFormat="1" ht="18.75" customHeight="1">
      <c r="A24" s="357"/>
      <c r="B24" s="193" t="s">
        <v>246</v>
      </c>
      <c r="C24" s="193">
        <v>8</v>
      </c>
      <c r="D24" s="82" t="s">
        <v>15</v>
      </c>
      <c r="E24" s="89" t="s">
        <v>14</v>
      </c>
      <c r="F24" s="178"/>
      <c r="G24" s="25"/>
      <c r="H24" s="411"/>
      <c r="I24" s="189"/>
      <c r="J24" s="189"/>
      <c r="K24" s="92"/>
      <c r="L24" s="92"/>
      <c r="M24" s="276"/>
      <c r="N24" s="25">
        <f t="shared" si="5"/>
        <v>0</v>
      </c>
      <c r="O24" s="358"/>
      <c r="P24" s="403" t="s">
        <v>158</v>
      </c>
      <c r="Q24" s="404"/>
      <c r="R24" s="404"/>
      <c r="S24" s="405"/>
      <c r="T24" s="178"/>
      <c r="U24" s="105">
        <f t="shared" si="8"/>
        <v>0</v>
      </c>
      <c r="V24" s="394"/>
      <c r="W24" s="85" t="s">
        <v>238</v>
      </c>
      <c r="X24" s="25">
        <v>0.5</v>
      </c>
      <c r="Y24" s="92">
        <f>ROUND($AE$1*X24,)</f>
        <v>36</v>
      </c>
      <c r="Z24" s="47" t="s">
        <v>86</v>
      </c>
      <c r="AA24" s="276"/>
      <c r="AB24" s="179">
        <f t="shared" si="6"/>
        <v>0</v>
      </c>
      <c r="AC24" s="352"/>
      <c r="AD24" s="103"/>
      <c r="AE24" s="103"/>
      <c r="AF24" s="82"/>
      <c r="AG24" s="89"/>
      <c r="AH24" s="178"/>
      <c r="AI24" s="76">
        <f t="shared" si="7"/>
        <v>0</v>
      </c>
      <c r="AL24" s="394"/>
      <c r="AM24" s="85"/>
      <c r="AN24" s="85"/>
      <c r="AO24" s="191"/>
      <c r="AP24" s="192"/>
      <c r="AV24" s="357"/>
      <c r="AW24" s="50" t="s">
        <v>155</v>
      </c>
      <c r="AX24" s="50">
        <v>13</v>
      </c>
      <c r="AY24" s="82">
        <v>2</v>
      </c>
      <c r="AZ24" s="87" t="s">
        <v>156</v>
      </c>
    </row>
    <row r="25" spans="1:52" s="78" customFormat="1" ht="18.75" customHeight="1" thickBot="1">
      <c r="A25" s="357"/>
      <c r="B25" s="197"/>
      <c r="C25" s="197"/>
      <c r="D25" s="113"/>
      <c r="E25" s="114"/>
      <c r="F25" s="198"/>
      <c r="G25" s="199">
        <f t="shared" si="4"/>
        <v>0</v>
      </c>
      <c r="H25" s="412"/>
      <c r="I25" s="199"/>
      <c r="J25" s="203"/>
      <c r="K25" s="108"/>
      <c r="L25" s="108"/>
      <c r="M25" s="278"/>
      <c r="N25" s="199">
        <f t="shared" si="5"/>
        <v>0</v>
      </c>
      <c r="O25" s="359"/>
      <c r="P25" s="406" t="s">
        <v>159</v>
      </c>
      <c r="Q25" s="407"/>
      <c r="R25" s="407"/>
      <c r="S25" s="408"/>
      <c r="T25" s="198"/>
      <c r="U25" s="204">
        <f t="shared" si="8"/>
        <v>0</v>
      </c>
      <c r="V25" s="395"/>
      <c r="W25" s="200"/>
      <c r="X25" s="200"/>
      <c r="Y25" s="201"/>
      <c r="Z25" s="202"/>
      <c r="AA25" s="278"/>
      <c r="AB25" s="205">
        <f t="shared" si="6"/>
        <v>0</v>
      </c>
      <c r="AC25" s="397"/>
      <c r="AD25" s="313"/>
      <c r="AE25" s="313"/>
      <c r="AF25" s="314"/>
      <c r="AG25" s="315"/>
      <c r="AH25" s="198"/>
      <c r="AI25" s="76">
        <f t="shared" si="7"/>
        <v>0</v>
      </c>
      <c r="AL25" s="395"/>
      <c r="AM25" s="200"/>
      <c r="AN25" s="200"/>
      <c r="AO25" s="201"/>
      <c r="AP25" s="202"/>
      <c r="AV25" s="357"/>
      <c r="AW25" s="193"/>
      <c r="AX25" s="193"/>
      <c r="AY25" s="82"/>
      <c r="AZ25" s="89"/>
    </row>
    <row r="26" spans="1:52" s="65" customFormat="1" ht="18.75" customHeight="1" thickBot="1">
      <c r="A26" s="340" t="s">
        <v>105</v>
      </c>
      <c r="B26" s="116" t="s">
        <v>106</v>
      </c>
      <c r="C26" s="343">
        <v>2</v>
      </c>
      <c r="D26" s="343"/>
      <c r="E26" s="345"/>
      <c r="F26" s="346">
        <f>SUM(G6:G25)</f>
        <v>2048.2</v>
      </c>
      <c r="G26" s="347"/>
      <c r="H26" s="340" t="s">
        <v>105</v>
      </c>
      <c r="I26" s="116" t="s">
        <v>106</v>
      </c>
      <c r="J26" s="343">
        <v>2</v>
      </c>
      <c r="K26" s="343"/>
      <c r="L26" s="345"/>
      <c r="M26" s="346">
        <f>SUM(N6:N25)</f>
        <v>1807.3000000000002</v>
      </c>
      <c r="N26" s="347"/>
      <c r="O26" s="340" t="s">
        <v>105</v>
      </c>
      <c r="P26" s="116" t="s">
        <v>106</v>
      </c>
      <c r="Q26" s="343">
        <v>1.8</v>
      </c>
      <c r="R26" s="343"/>
      <c r="S26" s="343"/>
      <c r="T26" s="346">
        <f>SUM(U6:U25)</f>
        <v>534.5999999999999</v>
      </c>
      <c r="U26" s="347"/>
      <c r="V26" s="340" t="s">
        <v>105</v>
      </c>
      <c r="W26" s="116" t="s">
        <v>106</v>
      </c>
      <c r="X26" s="343">
        <v>2.5</v>
      </c>
      <c r="Y26" s="343"/>
      <c r="Z26" s="345"/>
      <c r="AA26" s="346">
        <f>SUM(AB6:AB25)</f>
        <v>2415.5</v>
      </c>
      <c r="AB26" s="347"/>
      <c r="AC26" s="337" t="s">
        <v>105</v>
      </c>
      <c r="AD26" s="116" t="s">
        <v>106</v>
      </c>
      <c r="AE26" s="343">
        <v>1.2</v>
      </c>
      <c r="AF26" s="343"/>
      <c r="AG26" s="345"/>
      <c r="AH26" s="346">
        <f>SUM(AI6:AI25)</f>
        <v>672.2</v>
      </c>
      <c r="AI26" s="347"/>
      <c r="AL26" s="340" t="s">
        <v>105</v>
      </c>
      <c r="AM26" s="116" t="s">
        <v>106</v>
      </c>
      <c r="AN26" s="343">
        <v>2.5</v>
      </c>
      <c r="AO26" s="343"/>
      <c r="AP26" s="345"/>
      <c r="AS26" s="142"/>
      <c r="AV26" s="357"/>
      <c r="AW26" s="197"/>
      <c r="AX26" s="197"/>
      <c r="AY26" s="113"/>
      <c r="AZ26" s="114"/>
    </row>
    <row r="27" spans="1:52" s="65" customFormat="1" ht="18.75" customHeight="1">
      <c r="A27" s="341"/>
      <c r="B27" s="118" t="s">
        <v>107</v>
      </c>
      <c r="C27" s="323">
        <v>0.6</v>
      </c>
      <c r="D27" s="323"/>
      <c r="E27" s="324"/>
      <c r="F27" s="297"/>
      <c r="G27" s="296"/>
      <c r="H27" s="341"/>
      <c r="I27" s="118" t="s">
        <v>107</v>
      </c>
      <c r="J27" s="323">
        <v>0.5</v>
      </c>
      <c r="K27" s="323"/>
      <c r="L27" s="324"/>
      <c r="M27" s="120"/>
      <c r="N27" s="296"/>
      <c r="O27" s="341"/>
      <c r="P27" s="118" t="s">
        <v>107</v>
      </c>
      <c r="Q27" s="323">
        <v>0.5</v>
      </c>
      <c r="R27" s="323"/>
      <c r="S27" s="323"/>
      <c r="T27" s="120"/>
      <c r="U27" s="121"/>
      <c r="V27" s="341"/>
      <c r="W27" s="118" t="s">
        <v>107</v>
      </c>
      <c r="X27" s="323">
        <v>1</v>
      </c>
      <c r="Y27" s="323"/>
      <c r="Z27" s="324"/>
      <c r="AA27" s="298"/>
      <c r="AB27" s="296"/>
      <c r="AC27" s="338"/>
      <c r="AD27" s="118" t="s">
        <v>107</v>
      </c>
      <c r="AE27" s="323">
        <v>0.5</v>
      </c>
      <c r="AF27" s="323"/>
      <c r="AG27" s="324"/>
      <c r="AH27" s="122"/>
      <c r="AI27" s="123"/>
      <c r="AL27" s="341"/>
      <c r="AM27" s="118" t="s">
        <v>107</v>
      </c>
      <c r="AN27" s="323">
        <v>1</v>
      </c>
      <c r="AO27" s="323"/>
      <c r="AP27" s="324"/>
      <c r="AS27" s="142"/>
      <c r="AV27" s="340" t="s">
        <v>105</v>
      </c>
      <c r="AW27" s="116" t="s">
        <v>106</v>
      </c>
      <c r="AX27" s="343">
        <v>2</v>
      </c>
      <c r="AY27" s="343"/>
      <c r="AZ27" s="345"/>
    </row>
    <row r="28" spans="1:52" s="65" customFormat="1" ht="18.75" customHeight="1">
      <c r="A28" s="341"/>
      <c r="B28" s="124" t="s">
        <v>108</v>
      </c>
      <c r="C28" s="323">
        <v>0.4</v>
      </c>
      <c r="D28" s="323"/>
      <c r="E28" s="324"/>
      <c r="F28" s="297"/>
      <c r="G28" s="296"/>
      <c r="H28" s="341"/>
      <c r="I28" s="124" t="s">
        <v>108</v>
      </c>
      <c r="J28" s="323">
        <v>0.5</v>
      </c>
      <c r="K28" s="323"/>
      <c r="L28" s="324"/>
      <c r="M28" s="120"/>
      <c r="N28" s="296"/>
      <c r="O28" s="341"/>
      <c r="P28" s="124" t="s">
        <v>108</v>
      </c>
      <c r="Q28" s="323">
        <v>0.5</v>
      </c>
      <c r="R28" s="323"/>
      <c r="S28" s="323"/>
      <c r="T28" s="120"/>
      <c r="U28" s="121"/>
      <c r="V28" s="341"/>
      <c r="W28" s="124" t="s">
        <v>108</v>
      </c>
      <c r="X28" s="323">
        <v>0.5</v>
      </c>
      <c r="Y28" s="323"/>
      <c r="Z28" s="324"/>
      <c r="AA28" s="298"/>
      <c r="AB28" s="296"/>
      <c r="AC28" s="338"/>
      <c r="AD28" s="124" t="s">
        <v>108</v>
      </c>
      <c r="AE28" s="323">
        <v>0.5</v>
      </c>
      <c r="AF28" s="323"/>
      <c r="AG28" s="324"/>
      <c r="AH28" s="122"/>
      <c r="AI28" s="123"/>
      <c r="AL28" s="341"/>
      <c r="AM28" s="124" t="s">
        <v>108</v>
      </c>
      <c r="AN28" s="323">
        <v>0.5</v>
      </c>
      <c r="AO28" s="323"/>
      <c r="AP28" s="324"/>
      <c r="AS28" s="150"/>
      <c r="AV28" s="341"/>
      <c r="AW28" s="118" t="s">
        <v>107</v>
      </c>
      <c r="AX28" s="323">
        <v>0.6</v>
      </c>
      <c r="AY28" s="323"/>
      <c r="AZ28" s="324"/>
    </row>
    <row r="29" spans="1:52" s="65" customFormat="1" ht="18.75" customHeight="1">
      <c r="A29" s="341"/>
      <c r="B29" s="125" t="s">
        <v>110</v>
      </c>
      <c r="C29" s="323">
        <v>0.5</v>
      </c>
      <c r="D29" s="323"/>
      <c r="E29" s="324"/>
      <c r="F29" s="297"/>
      <c r="G29" s="296"/>
      <c r="H29" s="341"/>
      <c r="I29" s="125" t="s">
        <v>109</v>
      </c>
      <c r="J29" s="323">
        <v>0.5</v>
      </c>
      <c r="K29" s="323"/>
      <c r="L29" s="324"/>
      <c r="M29" s="120"/>
      <c r="N29" s="296"/>
      <c r="O29" s="341"/>
      <c r="P29" s="125" t="s">
        <v>110</v>
      </c>
      <c r="Q29" s="323">
        <v>0.5</v>
      </c>
      <c r="R29" s="323"/>
      <c r="S29" s="323"/>
      <c r="T29" s="120"/>
      <c r="U29" s="121"/>
      <c r="V29" s="341"/>
      <c r="W29" s="125" t="s">
        <v>109</v>
      </c>
      <c r="X29" s="323">
        <v>0.5</v>
      </c>
      <c r="Y29" s="323"/>
      <c r="Z29" s="324"/>
      <c r="AA29" s="298"/>
      <c r="AB29" s="296"/>
      <c r="AC29" s="338"/>
      <c r="AD29" s="125" t="s">
        <v>110</v>
      </c>
      <c r="AE29" s="323">
        <v>0.5</v>
      </c>
      <c r="AF29" s="323"/>
      <c r="AG29" s="324"/>
      <c r="AH29" s="122"/>
      <c r="AI29" s="123"/>
      <c r="AL29" s="341"/>
      <c r="AM29" s="125" t="s">
        <v>109</v>
      </c>
      <c r="AN29" s="323">
        <v>0.5</v>
      </c>
      <c r="AO29" s="323"/>
      <c r="AP29" s="324"/>
      <c r="AS29" s="150"/>
      <c r="AV29" s="341"/>
      <c r="AW29" s="124" t="s">
        <v>108</v>
      </c>
      <c r="AX29" s="323">
        <v>0.4</v>
      </c>
      <c r="AY29" s="323"/>
      <c r="AZ29" s="324"/>
    </row>
    <row r="30" spans="1:52" s="65" customFormat="1" ht="18.75" customHeight="1">
      <c r="A30" s="341"/>
      <c r="B30" s="118" t="s">
        <v>111</v>
      </c>
      <c r="C30" s="323">
        <v>0</v>
      </c>
      <c r="D30" s="323"/>
      <c r="E30" s="324"/>
      <c r="F30" s="297"/>
      <c r="G30" s="296"/>
      <c r="H30" s="341"/>
      <c r="I30" s="118" t="s">
        <v>111</v>
      </c>
      <c r="J30" s="323">
        <v>1</v>
      </c>
      <c r="K30" s="323"/>
      <c r="L30" s="324"/>
      <c r="M30" s="120"/>
      <c r="N30" s="296"/>
      <c r="O30" s="341"/>
      <c r="P30" s="118" t="s">
        <v>111</v>
      </c>
      <c r="Q30" s="323">
        <v>0.6</v>
      </c>
      <c r="R30" s="323"/>
      <c r="S30" s="323"/>
      <c r="T30" s="120"/>
      <c r="U30" s="121"/>
      <c r="V30" s="341"/>
      <c r="W30" s="118" t="s">
        <v>111</v>
      </c>
      <c r="X30" s="323">
        <v>0</v>
      </c>
      <c r="Y30" s="323"/>
      <c r="Z30" s="324"/>
      <c r="AA30" s="298"/>
      <c r="AB30" s="296"/>
      <c r="AC30" s="338"/>
      <c r="AD30" s="118" t="s">
        <v>111</v>
      </c>
      <c r="AE30" s="323">
        <v>1</v>
      </c>
      <c r="AF30" s="323"/>
      <c r="AG30" s="324"/>
      <c r="AH30" s="122"/>
      <c r="AI30" s="123"/>
      <c r="AL30" s="341"/>
      <c r="AM30" s="118" t="s">
        <v>111</v>
      </c>
      <c r="AN30" s="323">
        <v>0</v>
      </c>
      <c r="AO30" s="323"/>
      <c r="AP30" s="324"/>
      <c r="AS30" s="150"/>
      <c r="AV30" s="341"/>
      <c r="AW30" s="125" t="s">
        <v>110</v>
      </c>
      <c r="AX30" s="323">
        <v>0.5</v>
      </c>
      <c r="AY30" s="323"/>
      <c r="AZ30" s="324"/>
    </row>
    <row r="31" spans="1:52" s="65" customFormat="1" ht="18.75" customHeight="1">
      <c r="A31" s="341"/>
      <c r="B31" s="118" t="s">
        <v>112</v>
      </c>
      <c r="C31" s="323">
        <v>0.4</v>
      </c>
      <c r="D31" s="323"/>
      <c r="E31" s="324"/>
      <c r="F31" s="297"/>
      <c r="G31" s="296"/>
      <c r="H31" s="341"/>
      <c r="I31" s="118" t="s">
        <v>112</v>
      </c>
      <c r="J31" s="323">
        <v>0.6</v>
      </c>
      <c r="K31" s="323"/>
      <c r="L31" s="324"/>
      <c r="M31" s="126"/>
      <c r="N31" s="296"/>
      <c r="O31" s="341"/>
      <c r="P31" s="118" t="s">
        <v>112</v>
      </c>
      <c r="Q31" s="323">
        <v>0.6</v>
      </c>
      <c r="R31" s="323"/>
      <c r="S31" s="323"/>
      <c r="T31" s="120"/>
      <c r="U31" s="121"/>
      <c r="V31" s="341"/>
      <c r="W31" s="118" t="s">
        <v>112</v>
      </c>
      <c r="X31" s="323">
        <v>0.6</v>
      </c>
      <c r="Y31" s="323"/>
      <c r="Z31" s="324"/>
      <c r="AA31" s="298"/>
      <c r="AB31" s="296"/>
      <c r="AC31" s="338"/>
      <c r="AD31" s="118" t="s">
        <v>112</v>
      </c>
      <c r="AE31" s="323">
        <v>0.6</v>
      </c>
      <c r="AF31" s="323"/>
      <c r="AG31" s="324"/>
      <c r="AH31" s="122"/>
      <c r="AI31" s="123"/>
      <c r="AJ31" s="65">
        <v>0.2</v>
      </c>
      <c r="AL31" s="341"/>
      <c r="AM31" s="118" t="s">
        <v>112</v>
      </c>
      <c r="AN31" s="323">
        <v>0.6</v>
      </c>
      <c r="AO31" s="323"/>
      <c r="AP31" s="324"/>
      <c r="AS31" s="150"/>
      <c r="AV31" s="341"/>
      <c r="AW31" s="118" t="s">
        <v>111</v>
      </c>
      <c r="AX31" s="323">
        <v>0</v>
      </c>
      <c r="AY31" s="323"/>
      <c r="AZ31" s="324"/>
    </row>
    <row r="32" spans="1:52" s="65" customFormat="1" ht="18.75" customHeight="1" thickBot="1">
      <c r="A32" s="342"/>
      <c r="B32" s="127" t="s">
        <v>113</v>
      </c>
      <c r="C32" s="332">
        <f>C26*70+C27*75+C28*25+C29*45+C31*120+C30*60</f>
        <v>265.5</v>
      </c>
      <c r="D32" s="332"/>
      <c r="E32" s="333"/>
      <c r="F32" s="221"/>
      <c r="G32" s="129"/>
      <c r="H32" s="342"/>
      <c r="I32" s="127" t="s">
        <v>113</v>
      </c>
      <c r="J32" s="332">
        <f>J26*70+J27*75+J28*25+J29*45+J31*120+J30*60</f>
        <v>344.5</v>
      </c>
      <c r="K32" s="332"/>
      <c r="L32" s="333"/>
      <c r="M32" s="130"/>
      <c r="N32" s="129"/>
      <c r="O32" s="342"/>
      <c r="P32" s="127" t="s">
        <v>113</v>
      </c>
      <c r="Q32" s="332">
        <f>Q26*70+Q27*75+Q28*25+Q29*45+Q31*120+Q30*60</f>
        <v>306.5</v>
      </c>
      <c r="R32" s="332"/>
      <c r="S32" s="332"/>
      <c r="T32" s="130"/>
      <c r="U32" s="131"/>
      <c r="V32" s="342"/>
      <c r="W32" s="127" t="s">
        <v>113</v>
      </c>
      <c r="X32" s="332">
        <f>X26*70+X27*75+X28*25+X29*45+X31*120+X30*60</f>
        <v>357</v>
      </c>
      <c r="Y32" s="332"/>
      <c r="Z32" s="333"/>
      <c r="AA32" s="132"/>
      <c r="AB32" s="129"/>
      <c r="AC32" s="339"/>
      <c r="AD32" s="127" t="s">
        <v>113</v>
      </c>
      <c r="AE32" s="332">
        <f>AE26*70+AE27*75+AE28*25+AE29*45+AE31*120+AE30*60</f>
        <v>288.5</v>
      </c>
      <c r="AF32" s="332"/>
      <c r="AG32" s="333"/>
      <c r="AH32" s="133"/>
      <c r="AI32" s="134"/>
      <c r="AL32" s="342"/>
      <c r="AM32" s="127" t="s">
        <v>113</v>
      </c>
      <c r="AN32" s="332">
        <f>AN26*70+AN27*75+AN28*25+AN29*45+AN31*120+AN30*60</f>
        <v>357</v>
      </c>
      <c r="AO32" s="332"/>
      <c r="AP32" s="333"/>
      <c r="AS32" s="150"/>
      <c r="AV32" s="341"/>
      <c r="AW32" s="118" t="s">
        <v>112</v>
      </c>
      <c r="AX32" s="323">
        <v>0.4</v>
      </c>
      <c r="AY32" s="323"/>
      <c r="AZ32" s="324"/>
    </row>
    <row r="33" spans="1:52" s="78" customFormat="1" ht="18.75" customHeight="1" thickBot="1">
      <c r="A33" s="135"/>
      <c r="D33" s="136"/>
      <c r="E33" s="136"/>
      <c r="F33" s="137"/>
      <c r="H33" s="138"/>
      <c r="K33" s="136"/>
      <c r="L33" s="136"/>
      <c r="M33" s="137"/>
      <c r="O33" s="139"/>
      <c r="P33" s="135"/>
      <c r="Q33" s="135"/>
      <c r="R33" s="140"/>
      <c r="S33" s="140"/>
      <c r="T33" s="137"/>
      <c r="V33" s="138"/>
      <c r="W33" s="135"/>
      <c r="X33" s="135"/>
      <c r="Y33" s="140"/>
      <c r="Z33" s="140"/>
      <c r="AA33" s="137"/>
      <c r="AC33" s="135"/>
      <c r="AF33" s="136"/>
      <c r="AG33" s="136"/>
      <c r="AH33" s="137"/>
      <c r="AS33" s="150"/>
      <c r="AT33" s="50"/>
      <c r="AU33" s="50"/>
      <c r="AV33" s="342"/>
      <c r="AW33" s="127" t="s">
        <v>113</v>
      </c>
      <c r="AX33" s="332">
        <f>AX27*70+AX28*75+AX29*25+AX30*45+AX32*120+AX31*60</f>
        <v>265.5</v>
      </c>
      <c r="AY33" s="332"/>
      <c r="AZ33" s="333"/>
    </row>
    <row r="34" spans="1:62" s="78" customFormat="1" ht="19.5" customHeight="1">
      <c r="A34" s="335" t="s">
        <v>114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141"/>
      <c r="AJ34" s="142"/>
      <c r="AK34" s="143"/>
      <c r="AL34" s="143"/>
      <c r="AM34" s="142"/>
      <c r="AN34" s="142"/>
      <c r="AO34" s="142"/>
      <c r="AP34" s="142"/>
      <c r="AQ34" s="142"/>
      <c r="AR34" s="142"/>
      <c r="AS34" s="150"/>
      <c r="AT34" s="50"/>
      <c r="AU34" s="50"/>
      <c r="AV34" s="92"/>
      <c r="AW34" s="47"/>
      <c r="AX34" s="84"/>
      <c r="AY34" s="37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</row>
    <row r="35" spans="1:62" s="78" customFormat="1" ht="22.5" customHeight="1">
      <c r="A35" s="331" t="s">
        <v>115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141"/>
      <c r="AJ35" s="142"/>
      <c r="AK35" s="388" t="s">
        <v>143</v>
      </c>
      <c r="AL35" s="185" t="s">
        <v>144</v>
      </c>
      <c r="AM35" s="185">
        <v>50</v>
      </c>
      <c r="AN35" s="92">
        <f>ROUND($AE$1*AM35/1000,1)</f>
        <v>3.6</v>
      </c>
      <c r="AO35" s="186" t="s">
        <v>11</v>
      </c>
      <c r="AP35" s="142"/>
      <c r="AQ35" s="142"/>
      <c r="AR35" s="142"/>
      <c r="AS35" s="150"/>
      <c r="AT35" s="50"/>
      <c r="AU35" s="50"/>
      <c r="AV35" s="92"/>
      <c r="AW35" s="47"/>
      <c r="AX35" s="84"/>
      <c r="AY35" s="37">
        <f>AV35*AX35</f>
        <v>0</v>
      </c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</row>
    <row r="36" spans="37:41" ht="22.5" customHeight="1">
      <c r="AK36" s="389"/>
      <c r="AL36" s="88" t="s">
        <v>147</v>
      </c>
      <c r="AM36" s="88">
        <v>20</v>
      </c>
      <c r="AN36" s="92">
        <f>ROUND($AE$1*AM36/600,0)</f>
        <v>2</v>
      </c>
      <c r="AO36" s="186" t="s">
        <v>14</v>
      </c>
    </row>
    <row r="37" spans="37:41" ht="22.5" customHeight="1">
      <c r="AK37" s="389"/>
      <c r="AL37" s="88" t="s">
        <v>150</v>
      </c>
      <c r="AM37" s="88">
        <v>2</v>
      </c>
      <c r="AN37" s="92">
        <f>ROUND($AE$1*AM37/1000,1)</f>
        <v>0.1</v>
      </c>
      <c r="AO37" s="89" t="s">
        <v>11</v>
      </c>
    </row>
    <row r="38" spans="37:41" ht="22.5" customHeight="1">
      <c r="AK38" s="389"/>
      <c r="AL38" s="50" t="s">
        <v>152</v>
      </c>
      <c r="AM38" s="88">
        <v>5</v>
      </c>
      <c r="AN38" s="92">
        <f>ROUND($AE$1*AM38/1000,1)</f>
        <v>0.4</v>
      </c>
      <c r="AO38" s="89" t="s">
        <v>11</v>
      </c>
    </row>
    <row r="39" spans="37:41" ht="22.5" customHeight="1">
      <c r="AK39" s="389"/>
      <c r="AL39" s="88" t="s">
        <v>154</v>
      </c>
      <c r="AM39" s="88">
        <v>16</v>
      </c>
      <c r="AN39" s="92">
        <f>ROUND($AE$1*AM39/1000,1)</f>
        <v>1.2</v>
      </c>
      <c r="AO39" s="89" t="s">
        <v>11</v>
      </c>
    </row>
    <row r="40" spans="37:41" ht="22.5" customHeight="1">
      <c r="AK40" s="389"/>
      <c r="AL40" s="85"/>
      <c r="AM40" s="85"/>
      <c r="AN40" s="191"/>
      <c r="AO40" s="192"/>
    </row>
    <row r="41" spans="37:41" ht="22.5" customHeight="1">
      <c r="AK41" s="389"/>
      <c r="AL41" s="85"/>
      <c r="AM41" s="85"/>
      <c r="AN41" s="191"/>
      <c r="AO41" s="192"/>
    </row>
    <row r="42" spans="37:41" ht="22.5" customHeight="1">
      <c r="AK42" s="390"/>
      <c r="AL42" s="200"/>
      <c r="AM42" s="200"/>
      <c r="AN42" s="201"/>
      <c r="AO42" s="202"/>
    </row>
  </sheetData>
  <sheetProtection selectLockedCells="1" selectUnlockedCells="1"/>
  <mergeCells count="110">
    <mergeCell ref="B2:E2"/>
    <mergeCell ref="H2:H4"/>
    <mergeCell ref="W2:Z2"/>
    <mergeCell ref="O2:O4"/>
    <mergeCell ref="V18:V25"/>
    <mergeCell ref="A18:A25"/>
    <mergeCell ref="V6:V16"/>
    <mergeCell ref="A17:E17"/>
    <mergeCell ref="A6:A16"/>
    <mergeCell ref="H5:L5"/>
    <mergeCell ref="AC2:AC4"/>
    <mergeCell ref="AC6:AC16"/>
    <mergeCell ref="AC5:AG5"/>
    <mergeCell ref="V5:Z5"/>
    <mergeCell ref="AD2:AG2"/>
    <mergeCell ref="AA26:AB26"/>
    <mergeCell ref="X26:Z26"/>
    <mergeCell ref="A2:A4"/>
    <mergeCell ref="AD4:AG4"/>
    <mergeCell ref="I4:L4"/>
    <mergeCell ref="H6:H16"/>
    <mergeCell ref="AC17:AG17"/>
    <mergeCell ref="V2:V4"/>
    <mergeCell ref="P2:S2"/>
    <mergeCell ref="V17:Z17"/>
    <mergeCell ref="O17:S17"/>
    <mergeCell ref="H17:L17"/>
    <mergeCell ref="C27:E27"/>
    <mergeCell ref="A1:L1"/>
    <mergeCell ref="P1:AD1"/>
    <mergeCell ref="H18:H25"/>
    <mergeCell ref="O18:O25"/>
    <mergeCell ref="A5:E5"/>
    <mergeCell ref="I2:L2"/>
    <mergeCell ref="B4:E4"/>
    <mergeCell ref="C26:E26"/>
    <mergeCell ref="J26:L26"/>
    <mergeCell ref="P4:S4"/>
    <mergeCell ref="W4:Z4"/>
    <mergeCell ref="O6:O16"/>
    <mergeCell ref="M26:N26"/>
    <mergeCell ref="P23:S23"/>
    <mergeCell ref="P24:S24"/>
    <mergeCell ref="P25:S25"/>
    <mergeCell ref="O5:S5"/>
    <mergeCell ref="V26:V32"/>
    <mergeCell ref="O26:O32"/>
    <mergeCell ref="J29:L29"/>
    <mergeCell ref="Q29:S29"/>
    <mergeCell ref="X29:Z29"/>
    <mergeCell ref="J27:L27"/>
    <mergeCell ref="Q27:S27"/>
    <mergeCell ref="X27:Z27"/>
    <mergeCell ref="J32:L32"/>
    <mergeCell ref="Q32:S32"/>
    <mergeCell ref="C31:E31"/>
    <mergeCell ref="J31:L31"/>
    <mergeCell ref="Q31:S31"/>
    <mergeCell ref="X31:Z31"/>
    <mergeCell ref="T26:U26"/>
    <mergeCell ref="C30:E30"/>
    <mergeCell ref="J30:L30"/>
    <mergeCell ref="Q30:S30"/>
    <mergeCell ref="X30:Z30"/>
    <mergeCell ref="C28:E28"/>
    <mergeCell ref="J28:L28"/>
    <mergeCell ref="Q28:S28"/>
    <mergeCell ref="X28:Z28"/>
    <mergeCell ref="Q26:S26"/>
    <mergeCell ref="AE32:AG32"/>
    <mergeCell ref="AC26:AC32"/>
    <mergeCell ref="AE30:AG30"/>
    <mergeCell ref="AE27:AG27"/>
    <mergeCell ref="AC18:AC25"/>
    <mergeCell ref="AE28:AG28"/>
    <mergeCell ref="AE29:AG29"/>
    <mergeCell ref="AE31:AG31"/>
    <mergeCell ref="A35:AH35"/>
    <mergeCell ref="A34:AH34"/>
    <mergeCell ref="A26:A32"/>
    <mergeCell ref="F26:G26"/>
    <mergeCell ref="H26:H32"/>
    <mergeCell ref="C32:E32"/>
    <mergeCell ref="AH26:AI26"/>
    <mergeCell ref="C29:E29"/>
    <mergeCell ref="AE26:AG26"/>
    <mergeCell ref="X32:Z32"/>
    <mergeCell ref="AL6:AL16"/>
    <mergeCell ref="AV7:AV17"/>
    <mergeCell ref="AL17:AP17"/>
    <mergeCell ref="AL18:AL25"/>
    <mergeCell ref="AV18:AZ18"/>
    <mergeCell ref="AV19:AV26"/>
    <mergeCell ref="AL26:AL32"/>
    <mergeCell ref="AN26:AP26"/>
    <mergeCell ref="AN27:AP27"/>
    <mergeCell ref="AV27:AV33"/>
    <mergeCell ref="AX27:AZ27"/>
    <mergeCell ref="AN28:AP28"/>
    <mergeCell ref="AX28:AZ28"/>
    <mergeCell ref="AN29:AP29"/>
    <mergeCell ref="AX29:AZ29"/>
    <mergeCell ref="AN30:AP30"/>
    <mergeCell ref="AX30:AZ30"/>
    <mergeCell ref="AN31:AP31"/>
    <mergeCell ref="AX31:AZ31"/>
    <mergeCell ref="AN32:AP32"/>
    <mergeCell ref="AX32:AZ32"/>
    <mergeCell ref="AX33:AZ33"/>
    <mergeCell ref="AK35:AK42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4"/>
  <sheetViews>
    <sheetView tabSelected="1" view="pageBreakPreview" zoomScale="75" zoomScaleNormal="75" zoomScaleSheetLayoutView="75" zoomScalePageLayoutView="0" workbookViewId="0" topLeftCell="A1">
      <selection activeCell="AJ25" sqref="AJ25:AJ31"/>
    </sheetView>
  </sheetViews>
  <sheetFormatPr defaultColWidth="6.125" defaultRowHeight="22.5" customHeight="1"/>
  <cols>
    <col min="1" max="1" width="4.625" style="1" customWidth="1"/>
    <col min="2" max="2" width="14.50390625" style="2" customWidth="1"/>
    <col min="3" max="3" width="6.125" style="2" hidden="1" customWidth="1"/>
    <col min="4" max="5" width="5.25390625" style="2" customWidth="1"/>
    <col min="6" max="6" width="6.125" style="3" customWidth="1"/>
    <col min="7" max="7" width="6.125" style="4" customWidth="1"/>
    <col min="8" max="8" width="4.625" style="1" customWidth="1"/>
    <col min="9" max="9" width="14.625" style="2" customWidth="1"/>
    <col min="10" max="10" width="6.125" style="2" hidden="1" customWidth="1"/>
    <col min="11" max="12" width="5.25390625" style="2" customWidth="1"/>
    <col min="13" max="13" width="6.125" style="3" customWidth="1"/>
    <col min="14" max="14" width="6.125" style="4" customWidth="1"/>
    <col min="15" max="15" width="4.625" style="1" customWidth="1"/>
    <col min="16" max="16" width="14.125" style="2" customWidth="1"/>
    <col min="17" max="17" width="6.125" style="2" hidden="1" customWidth="1"/>
    <col min="18" max="18" width="5.75390625" style="2" customWidth="1"/>
    <col min="19" max="19" width="5.25390625" style="2" customWidth="1"/>
    <col min="20" max="20" width="6.125" style="3" customWidth="1"/>
    <col min="21" max="21" width="6.125" style="4" customWidth="1"/>
    <col min="22" max="22" width="4.625" style="5" customWidth="1"/>
    <col min="23" max="23" width="15.00390625" style="2" customWidth="1"/>
    <col min="24" max="24" width="5.50390625" style="2" hidden="1" customWidth="1"/>
    <col min="25" max="26" width="5.25390625" style="2" customWidth="1"/>
    <col min="27" max="27" width="6.125" style="3" customWidth="1"/>
    <col min="28" max="28" width="6.125" style="4" customWidth="1"/>
    <col min="29" max="29" width="4.625" style="1" customWidth="1"/>
    <col min="30" max="30" width="18.875" style="2" customWidth="1"/>
    <col min="31" max="31" width="6.125" style="2" hidden="1" customWidth="1"/>
    <col min="32" max="32" width="5.25390625" style="2" customWidth="1"/>
    <col min="33" max="33" width="4.00390625" style="2" customWidth="1"/>
    <col min="34" max="34" width="6.125" style="6" customWidth="1"/>
    <col min="35" max="35" width="6.125" style="4" customWidth="1"/>
    <col min="36" max="36" width="4.625" style="1" customWidth="1"/>
    <col min="37" max="37" width="18.875" style="2" customWidth="1"/>
    <col min="38" max="38" width="6.125" style="2" hidden="1" customWidth="1"/>
    <col min="39" max="39" width="5.25390625" style="2" customWidth="1"/>
    <col min="40" max="40" width="4.00390625" style="2" customWidth="1"/>
    <col min="41" max="41" width="6.125" style="6" customWidth="1"/>
    <col min="42" max="42" width="6.125" style="4" customWidth="1"/>
    <col min="43" max="43" width="14.00390625" style="2" customWidth="1"/>
    <col min="44" max="44" width="6.125" style="2" hidden="1" customWidth="1"/>
    <col min="45" max="46" width="5.25390625" style="2" customWidth="1"/>
    <col min="47" max="16384" width="6.125" style="7" customWidth="1"/>
  </cols>
  <sheetData>
    <row r="1" spans="1:255" s="14" customFormat="1" ht="30" customHeight="1">
      <c r="A1" s="409" t="str">
        <f>'第二周'!A1</f>
        <v>僑愛國民小學附幼111學年度下學期第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52"/>
      <c r="N1" s="53"/>
      <c r="O1" s="65">
        <f>'第二周'!O1+1</f>
        <v>18</v>
      </c>
      <c r="P1" s="360" t="str">
        <f>'第二周'!P1</f>
        <v>週點心食譜設計表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53">
        <v>72</v>
      </c>
      <c r="AM1" s="53">
        <v>72</v>
      </c>
      <c r="AN1" s="53"/>
      <c r="AO1" s="53"/>
      <c r="AP1" s="53"/>
      <c r="AQ1" s="52"/>
      <c r="AR1" s="53"/>
      <c r="AS1" s="53"/>
      <c r="AT1" s="53"/>
      <c r="AU1" s="53"/>
      <c r="AV1" s="54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</row>
    <row r="2" spans="1:255" s="15" customFormat="1" ht="18.75" customHeight="1">
      <c r="A2" s="449" t="s">
        <v>46</v>
      </c>
      <c r="B2" s="368">
        <f>'第二周'!B2+7</f>
        <v>45089</v>
      </c>
      <c r="C2" s="368"/>
      <c r="D2" s="368"/>
      <c r="E2" s="368"/>
      <c r="F2" s="55"/>
      <c r="G2" s="56"/>
      <c r="H2" s="451" t="s">
        <v>46</v>
      </c>
      <c r="I2" s="369">
        <f>B2+1</f>
        <v>45090</v>
      </c>
      <c r="J2" s="369"/>
      <c r="K2" s="369"/>
      <c r="L2" s="369"/>
      <c r="M2" s="57"/>
      <c r="N2" s="58"/>
      <c r="O2" s="451" t="s">
        <v>46</v>
      </c>
      <c r="P2" s="381">
        <f>I2+1</f>
        <v>45091</v>
      </c>
      <c r="Q2" s="381"/>
      <c r="R2" s="381"/>
      <c r="S2" s="381"/>
      <c r="T2" s="59"/>
      <c r="U2" s="60"/>
      <c r="V2" s="451" t="s">
        <v>46</v>
      </c>
      <c r="W2" s="376">
        <f>P2+1</f>
        <v>45092</v>
      </c>
      <c r="X2" s="376"/>
      <c r="Y2" s="376"/>
      <c r="Z2" s="376"/>
      <c r="AA2" s="61"/>
      <c r="AB2" s="62"/>
      <c r="AC2" s="449" t="s">
        <v>46</v>
      </c>
      <c r="AD2" s="384">
        <f>W2+1</f>
        <v>45093</v>
      </c>
      <c r="AE2" s="384"/>
      <c r="AF2" s="384"/>
      <c r="AG2" s="385"/>
      <c r="AH2" s="63"/>
      <c r="AI2" s="64"/>
      <c r="AJ2" s="449" t="s">
        <v>46</v>
      </c>
      <c r="AK2" s="455">
        <f>AD2+1</f>
        <v>45094</v>
      </c>
      <c r="AL2" s="455"/>
      <c r="AM2" s="455"/>
      <c r="AN2" s="456"/>
      <c r="AO2" s="63"/>
      <c r="AP2" s="64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</row>
    <row r="3" spans="1:255" s="15" customFormat="1" ht="18.75" customHeight="1">
      <c r="A3" s="450"/>
      <c r="B3" s="16" t="s">
        <v>1</v>
      </c>
      <c r="C3" s="16" t="s">
        <v>25</v>
      </c>
      <c r="D3" s="51" t="s">
        <v>2</v>
      </c>
      <c r="E3" s="51" t="s">
        <v>3</v>
      </c>
      <c r="F3" s="66" t="s">
        <v>4</v>
      </c>
      <c r="G3" s="67" t="s">
        <v>5</v>
      </c>
      <c r="H3" s="452"/>
      <c r="I3" s="67" t="s">
        <v>1</v>
      </c>
      <c r="J3" s="67" t="s">
        <v>25</v>
      </c>
      <c r="K3" s="68" t="s">
        <v>2</v>
      </c>
      <c r="L3" s="68" t="s">
        <v>3</v>
      </c>
      <c r="M3" s="66" t="s">
        <v>4</v>
      </c>
      <c r="N3" s="69" t="s">
        <v>5</v>
      </c>
      <c r="O3" s="452"/>
      <c r="P3" s="67" t="s">
        <v>1</v>
      </c>
      <c r="Q3" s="67" t="s">
        <v>25</v>
      </c>
      <c r="R3" s="68" t="s">
        <v>2</v>
      </c>
      <c r="S3" s="68" t="s">
        <v>3</v>
      </c>
      <c r="T3" s="66" t="s">
        <v>4</v>
      </c>
      <c r="U3" s="69" t="s">
        <v>5</v>
      </c>
      <c r="V3" s="452"/>
      <c r="W3" s="67" t="s">
        <v>1</v>
      </c>
      <c r="X3" s="67" t="s">
        <v>25</v>
      </c>
      <c r="Y3" s="68" t="s">
        <v>2</v>
      </c>
      <c r="Z3" s="68" t="s">
        <v>3</v>
      </c>
      <c r="AA3" s="66" t="s">
        <v>4</v>
      </c>
      <c r="AB3" s="69" t="s">
        <v>5</v>
      </c>
      <c r="AC3" s="450"/>
      <c r="AD3" s="67" t="s">
        <v>1</v>
      </c>
      <c r="AE3" s="67" t="s">
        <v>25</v>
      </c>
      <c r="AF3" s="68" t="s">
        <v>2</v>
      </c>
      <c r="AG3" s="70" t="s">
        <v>3</v>
      </c>
      <c r="AH3" s="71" t="s">
        <v>4</v>
      </c>
      <c r="AI3" s="72" t="s">
        <v>5</v>
      </c>
      <c r="AJ3" s="450"/>
      <c r="AK3" s="67" t="s">
        <v>1</v>
      </c>
      <c r="AL3" s="67" t="s">
        <v>25</v>
      </c>
      <c r="AM3" s="68" t="s">
        <v>2</v>
      </c>
      <c r="AN3" s="70" t="s">
        <v>3</v>
      </c>
      <c r="AO3" s="71" t="s">
        <v>4</v>
      </c>
      <c r="AP3" s="72" t="s">
        <v>5</v>
      </c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</row>
    <row r="4" spans="1:46" s="12" customFormat="1" ht="18.75" customHeight="1" hidden="1">
      <c r="A4" s="450"/>
      <c r="B4" s="448" t="s">
        <v>47</v>
      </c>
      <c r="C4" s="448"/>
      <c r="D4" s="448"/>
      <c r="E4" s="448"/>
      <c r="F4" s="8"/>
      <c r="G4" s="9"/>
      <c r="H4" s="452"/>
      <c r="I4" s="448" t="s">
        <v>48</v>
      </c>
      <c r="J4" s="448"/>
      <c r="K4" s="448"/>
      <c r="L4" s="448"/>
      <c r="M4" s="8"/>
      <c r="N4" s="9"/>
      <c r="O4" s="452"/>
      <c r="P4" s="448" t="s">
        <v>49</v>
      </c>
      <c r="Q4" s="448"/>
      <c r="R4" s="448"/>
      <c r="S4" s="448"/>
      <c r="T4" s="10"/>
      <c r="U4" s="11"/>
      <c r="V4" s="452"/>
      <c r="W4" s="448" t="s">
        <v>50</v>
      </c>
      <c r="X4" s="448"/>
      <c r="Y4" s="448"/>
      <c r="Z4" s="448"/>
      <c r="AA4" s="8"/>
      <c r="AB4" s="13"/>
      <c r="AC4" s="450"/>
      <c r="AD4" s="453" t="s">
        <v>51</v>
      </c>
      <c r="AE4" s="453"/>
      <c r="AF4" s="453"/>
      <c r="AG4" s="454"/>
      <c r="AH4" s="8"/>
      <c r="AI4" s="9"/>
      <c r="AJ4" s="450"/>
      <c r="AK4" s="453" t="s">
        <v>51</v>
      </c>
      <c r="AL4" s="453"/>
      <c r="AM4" s="453"/>
      <c r="AN4" s="454"/>
      <c r="AO4" s="8"/>
      <c r="AP4" s="9"/>
      <c r="AQ4" s="453" t="s">
        <v>51</v>
      </c>
      <c r="AR4" s="453"/>
      <c r="AS4" s="453"/>
      <c r="AT4" s="454"/>
    </row>
    <row r="5" spans="1:42" s="19" customFormat="1" ht="18.75" customHeight="1">
      <c r="A5" s="383" t="s">
        <v>10</v>
      </c>
      <c r="B5" s="379"/>
      <c r="C5" s="379"/>
      <c r="D5" s="379"/>
      <c r="E5" s="379"/>
      <c r="F5" s="151"/>
      <c r="G5" s="152"/>
      <c r="H5" s="383" t="s">
        <v>10</v>
      </c>
      <c r="I5" s="379"/>
      <c r="J5" s="379"/>
      <c r="K5" s="379"/>
      <c r="L5" s="379"/>
      <c r="M5" s="151"/>
      <c r="N5" s="153"/>
      <c r="O5" s="378" t="s">
        <v>10</v>
      </c>
      <c r="P5" s="379"/>
      <c r="Q5" s="379"/>
      <c r="R5" s="379"/>
      <c r="S5" s="379"/>
      <c r="T5" s="151"/>
      <c r="U5" s="153"/>
      <c r="V5" s="378" t="s">
        <v>10</v>
      </c>
      <c r="W5" s="379"/>
      <c r="X5" s="379"/>
      <c r="Y5" s="379"/>
      <c r="Z5" s="379"/>
      <c r="AA5" s="151"/>
      <c r="AB5" s="153"/>
      <c r="AC5" s="382" t="s">
        <v>10</v>
      </c>
      <c r="AD5" s="379"/>
      <c r="AE5" s="379"/>
      <c r="AF5" s="379"/>
      <c r="AG5" s="380"/>
      <c r="AH5" s="17"/>
      <c r="AI5" s="18"/>
      <c r="AJ5" s="382" t="s">
        <v>10</v>
      </c>
      <c r="AK5" s="379"/>
      <c r="AL5" s="379"/>
      <c r="AM5" s="379"/>
      <c r="AN5" s="380"/>
      <c r="AO5" s="17"/>
      <c r="AP5" s="18"/>
    </row>
    <row r="6" spans="1:42" s="19" customFormat="1" ht="18.75" customHeight="1">
      <c r="A6" s="351" t="s">
        <v>181</v>
      </c>
      <c r="B6" s="31" t="s">
        <v>182</v>
      </c>
      <c r="C6" s="31">
        <v>0.5</v>
      </c>
      <c r="D6" s="21">
        <f>ROUND($AM$1*C6/6,0)</f>
        <v>6</v>
      </c>
      <c r="E6" s="286" t="s">
        <v>14</v>
      </c>
      <c r="F6" s="23">
        <v>49</v>
      </c>
      <c r="G6" s="24">
        <f aca="true" t="shared" si="0" ref="G6:G12">D6*F6</f>
        <v>294</v>
      </c>
      <c r="H6" s="427" t="s">
        <v>56</v>
      </c>
      <c r="I6" s="31" t="s">
        <v>118</v>
      </c>
      <c r="J6" s="31">
        <v>50</v>
      </c>
      <c r="K6" s="21">
        <f>ROUND($AM$1*J6/1000,1)</f>
        <v>3.6</v>
      </c>
      <c r="L6" s="43" t="s">
        <v>11</v>
      </c>
      <c r="M6" s="23">
        <v>47</v>
      </c>
      <c r="N6" s="24">
        <f aca="true" t="shared" si="1" ref="N6:N12">K6*M6</f>
        <v>169.20000000000002</v>
      </c>
      <c r="O6" s="443" t="s">
        <v>179</v>
      </c>
      <c r="P6" s="31" t="s">
        <v>155</v>
      </c>
      <c r="Q6" s="31">
        <v>8.2</v>
      </c>
      <c r="R6" s="21">
        <f>ROUND($AM$1*Q6/300,1)</f>
        <v>2</v>
      </c>
      <c r="S6" s="22" t="s">
        <v>24</v>
      </c>
      <c r="T6" s="23">
        <v>18</v>
      </c>
      <c r="U6" s="40">
        <f>R6*T6</f>
        <v>36</v>
      </c>
      <c r="V6" s="443" t="s">
        <v>248</v>
      </c>
      <c r="W6" s="31" t="s">
        <v>58</v>
      </c>
      <c r="X6" s="31">
        <v>11</v>
      </c>
      <c r="Y6" s="21">
        <f>ROUND($AM$1*X6/1000,1)</f>
        <v>0.8</v>
      </c>
      <c r="Z6" s="22" t="s">
        <v>42</v>
      </c>
      <c r="AA6" s="23">
        <v>63</v>
      </c>
      <c r="AB6" s="24">
        <f>Y6*AA6</f>
        <v>50.400000000000006</v>
      </c>
      <c r="AC6" s="457" t="s">
        <v>116</v>
      </c>
      <c r="AD6" s="27" t="s">
        <v>117</v>
      </c>
      <c r="AE6" s="33">
        <v>80</v>
      </c>
      <c r="AF6" s="21">
        <f>ROUND($AM$1*AE6/1200,0)</f>
        <v>5</v>
      </c>
      <c r="AG6" s="83" t="s">
        <v>71</v>
      </c>
      <c r="AH6" s="23">
        <v>93</v>
      </c>
      <c r="AI6" s="40">
        <f aca="true" t="shared" si="2" ref="AI6:AI11">AF6*AH6</f>
        <v>465</v>
      </c>
      <c r="AJ6" s="351" t="s">
        <v>275</v>
      </c>
      <c r="AK6" s="90" t="s">
        <v>276</v>
      </c>
      <c r="AL6" s="50">
        <v>16</v>
      </c>
      <c r="AM6" s="21">
        <f>ROUND($AM$1*AL6/1000,1)</f>
        <v>1.2</v>
      </c>
      <c r="AN6" s="50" t="s">
        <v>11</v>
      </c>
      <c r="AO6" s="306">
        <v>245</v>
      </c>
      <c r="AP6" s="40">
        <f>AM6*AO6</f>
        <v>294</v>
      </c>
    </row>
    <row r="7" spans="1:42" s="19" customFormat="1" ht="18.75" customHeight="1">
      <c r="A7" s="352"/>
      <c r="B7" s="50" t="s">
        <v>286</v>
      </c>
      <c r="C7" s="50">
        <v>0.6</v>
      </c>
      <c r="D7" s="21">
        <v>2.6</v>
      </c>
      <c r="E7" s="82" t="s">
        <v>292</v>
      </c>
      <c r="F7" s="23">
        <v>102</v>
      </c>
      <c r="G7" s="24">
        <f t="shared" si="0"/>
        <v>265.2</v>
      </c>
      <c r="H7" s="428"/>
      <c r="I7" s="31" t="s">
        <v>121</v>
      </c>
      <c r="J7" s="31">
        <v>15</v>
      </c>
      <c r="K7" s="21">
        <v>3</v>
      </c>
      <c r="L7" s="22" t="s">
        <v>11</v>
      </c>
      <c r="M7" s="23">
        <v>203</v>
      </c>
      <c r="N7" s="24">
        <f t="shared" si="1"/>
        <v>609</v>
      </c>
      <c r="O7" s="444"/>
      <c r="P7" s="31" t="s">
        <v>52</v>
      </c>
      <c r="Q7" s="31">
        <v>12</v>
      </c>
      <c r="R7" s="216">
        <f>ROUND($AM$1*Q7/1000,1)</f>
        <v>0.9</v>
      </c>
      <c r="S7" s="22" t="s">
        <v>11</v>
      </c>
      <c r="T7" s="23">
        <v>72</v>
      </c>
      <c r="U7" s="40">
        <f aca="true" t="shared" si="3" ref="U7:U15">R7*T7</f>
        <v>64.8</v>
      </c>
      <c r="V7" s="444"/>
      <c r="W7" s="31" t="s">
        <v>31</v>
      </c>
      <c r="X7" s="31">
        <v>10</v>
      </c>
      <c r="Y7" s="21">
        <f>ROUND($AM$1*X7/300,0)</f>
        <v>2</v>
      </c>
      <c r="Z7" s="22" t="s">
        <v>16</v>
      </c>
      <c r="AA7" s="23">
        <v>65</v>
      </c>
      <c r="AB7" s="24">
        <f>Y7*AA7</f>
        <v>130</v>
      </c>
      <c r="AC7" s="458"/>
      <c r="AD7" s="33" t="s">
        <v>28</v>
      </c>
      <c r="AE7" s="33">
        <v>1</v>
      </c>
      <c r="AF7" s="21" t="s">
        <v>15</v>
      </c>
      <c r="AG7" s="47" t="s">
        <v>11</v>
      </c>
      <c r="AH7" s="23"/>
      <c r="AI7" s="40"/>
      <c r="AJ7" s="352"/>
      <c r="AK7" s="50" t="s">
        <v>28</v>
      </c>
      <c r="AL7" s="50">
        <v>1</v>
      </c>
      <c r="AM7" s="50" t="s">
        <v>15</v>
      </c>
      <c r="AN7" s="50" t="s">
        <v>11</v>
      </c>
      <c r="AO7" s="23"/>
      <c r="AP7" s="40"/>
    </row>
    <row r="8" spans="1:56" s="19" customFormat="1" ht="18.75" customHeight="1">
      <c r="A8" s="352"/>
      <c r="B8" s="41"/>
      <c r="C8" s="24"/>
      <c r="D8" s="24"/>
      <c r="E8" s="24"/>
      <c r="F8" s="23"/>
      <c r="G8" s="24">
        <f t="shared" si="0"/>
        <v>0</v>
      </c>
      <c r="H8" s="428"/>
      <c r="I8" s="31" t="s">
        <v>33</v>
      </c>
      <c r="J8" s="31">
        <v>5</v>
      </c>
      <c r="K8" s="21">
        <f>ROUND($AM$1*J8/1000,1)</f>
        <v>0.4</v>
      </c>
      <c r="L8" s="22" t="s">
        <v>11</v>
      </c>
      <c r="M8" s="23">
        <v>115</v>
      </c>
      <c r="N8" s="24">
        <f t="shared" si="1"/>
        <v>46</v>
      </c>
      <c r="O8" s="444"/>
      <c r="P8" s="31" t="s">
        <v>19</v>
      </c>
      <c r="Q8" s="31">
        <v>10</v>
      </c>
      <c r="R8" s="21">
        <f>ROUND($AM$1*Q8/1000,1)</f>
        <v>0.7</v>
      </c>
      <c r="S8" s="22" t="s">
        <v>11</v>
      </c>
      <c r="T8" s="23">
        <v>52</v>
      </c>
      <c r="U8" s="40">
        <f t="shared" si="3"/>
        <v>36.4</v>
      </c>
      <c r="V8" s="444"/>
      <c r="W8" s="31" t="s">
        <v>289</v>
      </c>
      <c r="X8" s="31">
        <v>12</v>
      </c>
      <c r="Y8" s="286">
        <v>0.7</v>
      </c>
      <c r="Z8" s="289" t="s">
        <v>42</v>
      </c>
      <c r="AA8" s="23">
        <v>102</v>
      </c>
      <c r="AB8" s="24">
        <f aca="true" t="shared" si="4" ref="AB8:AB13">Y8*AA8</f>
        <v>71.39999999999999</v>
      </c>
      <c r="AC8" s="458"/>
      <c r="AD8" s="33" t="s">
        <v>122</v>
      </c>
      <c r="AE8" s="33">
        <v>20</v>
      </c>
      <c r="AF8" s="21" t="s">
        <v>15</v>
      </c>
      <c r="AG8" s="47" t="s">
        <v>11</v>
      </c>
      <c r="AH8" s="23"/>
      <c r="AI8" s="40"/>
      <c r="AJ8" s="352"/>
      <c r="AK8" s="50" t="s">
        <v>199</v>
      </c>
      <c r="AL8" s="50">
        <v>1</v>
      </c>
      <c r="AM8" s="21">
        <f>ROUND($AM$1*AL8/1000,1)</f>
        <v>0.1</v>
      </c>
      <c r="AN8" s="50" t="s">
        <v>11</v>
      </c>
      <c r="AO8" s="23">
        <v>100</v>
      </c>
      <c r="AP8" s="40">
        <f>AM8*AO8</f>
        <v>10</v>
      </c>
      <c r="AX8" s="427" t="s">
        <v>56</v>
      </c>
      <c r="AY8" s="31" t="s">
        <v>118</v>
      </c>
      <c r="AZ8" s="31">
        <v>50</v>
      </c>
      <c r="BA8" s="21">
        <f>ROUND($AM$1*AZ8/1000,1)</f>
        <v>3.6</v>
      </c>
      <c r="BB8" s="43" t="s">
        <v>11</v>
      </c>
      <c r="BC8" s="23">
        <v>65</v>
      </c>
      <c r="BD8" s="24"/>
    </row>
    <row r="9" spans="1:56" s="19" customFormat="1" ht="18.75" customHeight="1">
      <c r="A9" s="352"/>
      <c r="B9" s="155" t="s">
        <v>247</v>
      </c>
      <c r="C9" s="188">
        <v>128</v>
      </c>
      <c r="D9" s="21">
        <f>ROUND($AM$1*C9/1000,0)</f>
        <v>9</v>
      </c>
      <c r="E9" s="29" t="s">
        <v>16</v>
      </c>
      <c r="F9" s="23"/>
      <c r="G9" s="24">
        <f t="shared" si="0"/>
        <v>0</v>
      </c>
      <c r="H9" s="428"/>
      <c r="I9" s="31" t="s">
        <v>19</v>
      </c>
      <c r="J9" s="31">
        <v>8</v>
      </c>
      <c r="K9" s="21">
        <f>ROUND($AM$1*J9/1000,1)</f>
        <v>0.6</v>
      </c>
      <c r="L9" s="22" t="s">
        <v>11</v>
      </c>
      <c r="M9" s="23">
        <v>52</v>
      </c>
      <c r="N9" s="24">
        <f t="shared" si="1"/>
        <v>31.2</v>
      </c>
      <c r="O9" s="444"/>
      <c r="P9" s="31" t="s">
        <v>218</v>
      </c>
      <c r="Q9" s="31">
        <v>5</v>
      </c>
      <c r="R9" s="216">
        <f>ROUND($AM$1*Q9/1000,1)</f>
        <v>0.4</v>
      </c>
      <c r="S9" s="22" t="s">
        <v>11</v>
      </c>
      <c r="T9" s="23">
        <v>115</v>
      </c>
      <c r="U9" s="40">
        <f t="shared" si="3"/>
        <v>46</v>
      </c>
      <c r="V9" s="444"/>
      <c r="W9" s="31" t="s">
        <v>153</v>
      </c>
      <c r="X9" s="31">
        <v>3</v>
      </c>
      <c r="Y9" s="21">
        <f>ROUND($AM$1*X9/1000,1)</f>
        <v>0.2</v>
      </c>
      <c r="Z9" s="22" t="s">
        <v>11</v>
      </c>
      <c r="AA9" s="23">
        <v>500</v>
      </c>
      <c r="AB9" s="24">
        <f t="shared" si="4"/>
        <v>100</v>
      </c>
      <c r="AC9" s="458"/>
      <c r="AD9" s="27" t="s">
        <v>123</v>
      </c>
      <c r="AE9" s="33">
        <v>10</v>
      </c>
      <c r="AF9" s="21">
        <v>3</v>
      </c>
      <c r="AG9" s="47" t="s">
        <v>11</v>
      </c>
      <c r="AH9" s="23">
        <v>196</v>
      </c>
      <c r="AI9" s="40">
        <f t="shared" si="2"/>
        <v>588</v>
      </c>
      <c r="AJ9" s="352"/>
      <c r="AK9" s="50" t="s">
        <v>277</v>
      </c>
      <c r="AL9" s="50">
        <v>2</v>
      </c>
      <c r="AM9" s="50" t="s">
        <v>15</v>
      </c>
      <c r="AN9" s="50" t="s">
        <v>11</v>
      </c>
      <c r="AO9" s="23"/>
      <c r="AP9" s="40"/>
      <c r="AX9" s="428"/>
      <c r="AY9" s="31" t="s">
        <v>121</v>
      </c>
      <c r="AZ9" s="31">
        <v>15</v>
      </c>
      <c r="BA9" s="21">
        <v>3</v>
      </c>
      <c r="BB9" s="22" t="s">
        <v>11</v>
      </c>
      <c r="BC9" s="23">
        <v>45</v>
      </c>
      <c r="BD9" s="24">
        <f>BA9*BC9</f>
        <v>135</v>
      </c>
    </row>
    <row r="10" spans="1:56" s="19" customFormat="1" ht="18.75" customHeight="1">
      <c r="A10" s="352"/>
      <c r="B10" s="31"/>
      <c r="C10" s="31"/>
      <c r="D10" s="21"/>
      <c r="E10" s="22"/>
      <c r="F10" s="23"/>
      <c r="G10" s="24">
        <f t="shared" si="0"/>
        <v>0</v>
      </c>
      <c r="H10" s="428"/>
      <c r="I10" s="31" t="s">
        <v>125</v>
      </c>
      <c r="J10" s="31">
        <v>0</v>
      </c>
      <c r="K10" s="21" t="s">
        <v>15</v>
      </c>
      <c r="L10" s="22" t="s">
        <v>11</v>
      </c>
      <c r="M10" s="23"/>
      <c r="N10" s="24"/>
      <c r="O10" s="444"/>
      <c r="P10" s="31" t="s">
        <v>251</v>
      </c>
      <c r="Q10" s="31">
        <v>10</v>
      </c>
      <c r="R10" s="21" t="s">
        <v>15</v>
      </c>
      <c r="S10" s="22" t="s">
        <v>11</v>
      </c>
      <c r="T10" s="23"/>
      <c r="U10" s="40"/>
      <c r="V10" s="444"/>
      <c r="W10" s="288" t="s">
        <v>19</v>
      </c>
      <c r="X10" s="31">
        <v>10</v>
      </c>
      <c r="Y10" s="21">
        <f>ROUND($AM$1*X10/1000,1)</f>
        <v>0.7</v>
      </c>
      <c r="Z10" s="22" t="s">
        <v>11</v>
      </c>
      <c r="AA10" s="23">
        <v>52</v>
      </c>
      <c r="AB10" s="24">
        <f t="shared" si="4"/>
        <v>36.4</v>
      </c>
      <c r="AC10" s="458"/>
      <c r="AD10" s="33" t="s">
        <v>124</v>
      </c>
      <c r="AE10" s="33">
        <v>34</v>
      </c>
      <c r="AF10" s="21">
        <f>ROUND($AM$1*AE10/1000,1)</f>
        <v>2.4</v>
      </c>
      <c r="AG10" s="47" t="s">
        <v>11</v>
      </c>
      <c r="AH10" s="23">
        <v>26</v>
      </c>
      <c r="AI10" s="40">
        <f t="shared" si="2"/>
        <v>62.4</v>
      </c>
      <c r="AJ10" s="352"/>
      <c r="AK10" s="50" t="s">
        <v>278</v>
      </c>
      <c r="AL10" s="50">
        <v>18</v>
      </c>
      <c r="AM10" s="21">
        <f>ROUND($AM$1*AL10/600,0)</f>
        <v>2</v>
      </c>
      <c r="AN10" s="50" t="s">
        <v>14</v>
      </c>
      <c r="AO10" s="23">
        <v>58</v>
      </c>
      <c r="AP10" s="40">
        <f>AM10*AO10</f>
        <v>116</v>
      </c>
      <c r="AX10" s="428"/>
      <c r="AY10" s="31" t="s">
        <v>33</v>
      </c>
      <c r="AZ10" s="31">
        <v>5</v>
      </c>
      <c r="BA10" s="21">
        <f>ROUND($AM$1*AZ10/1000,1)</f>
        <v>0.4</v>
      </c>
      <c r="BB10" s="22" t="s">
        <v>11</v>
      </c>
      <c r="BC10" s="23"/>
      <c r="BD10" s="24">
        <f>BA10*BC10</f>
        <v>0</v>
      </c>
    </row>
    <row r="11" spans="1:56" s="19" customFormat="1" ht="18.75" customHeight="1">
      <c r="A11" s="352"/>
      <c r="B11" s="157"/>
      <c r="C11" s="157"/>
      <c r="D11" s="21"/>
      <c r="E11" s="21"/>
      <c r="F11" s="23"/>
      <c r="G11" s="24">
        <f t="shared" si="0"/>
        <v>0</v>
      </c>
      <c r="H11" s="428"/>
      <c r="I11" s="31" t="s">
        <v>90</v>
      </c>
      <c r="J11" s="31">
        <v>1</v>
      </c>
      <c r="K11" s="21" t="s">
        <v>15</v>
      </c>
      <c r="L11" s="22" t="s">
        <v>11</v>
      </c>
      <c r="M11" s="23"/>
      <c r="N11" s="24"/>
      <c r="O11" s="444"/>
      <c r="P11" s="31" t="s">
        <v>53</v>
      </c>
      <c r="Q11" s="31">
        <v>20</v>
      </c>
      <c r="R11" s="21">
        <f>ROUND($AM$1*Q11/1000,1)</f>
        <v>1.4</v>
      </c>
      <c r="S11" s="22" t="s">
        <v>11</v>
      </c>
      <c r="T11" s="23">
        <v>69</v>
      </c>
      <c r="U11" s="40">
        <f t="shared" si="3"/>
        <v>96.6</v>
      </c>
      <c r="V11" s="444"/>
      <c r="W11" s="288" t="s">
        <v>54</v>
      </c>
      <c r="X11" s="31">
        <v>14</v>
      </c>
      <c r="Y11" s="21">
        <f>ROUND($AM$1*X11/1000,1)</f>
        <v>1</v>
      </c>
      <c r="Z11" s="22" t="s">
        <v>11</v>
      </c>
      <c r="AA11" s="23">
        <v>42</v>
      </c>
      <c r="AB11" s="24">
        <f t="shared" si="4"/>
        <v>42</v>
      </c>
      <c r="AC11" s="458"/>
      <c r="AD11" s="27" t="s">
        <v>126</v>
      </c>
      <c r="AE11" s="27">
        <v>8</v>
      </c>
      <c r="AF11" s="216">
        <f>ROUND($AM$1*AE11/1000,1)</f>
        <v>0.6</v>
      </c>
      <c r="AG11" s="47" t="s">
        <v>11</v>
      </c>
      <c r="AH11" s="23"/>
      <c r="AI11" s="40">
        <f t="shared" si="2"/>
        <v>0</v>
      </c>
      <c r="AJ11" s="352"/>
      <c r="AK11" s="50" t="s">
        <v>21</v>
      </c>
      <c r="AL11" s="50">
        <v>30</v>
      </c>
      <c r="AM11" s="21">
        <f>ROUND($AM$1*AL11/1000,1)</f>
        <v>2.2</v>
      </c>
      <c r="AN11" s="50" t="s">
        <v>11</v>
      </c>
      <c r="AO11" s="23">
        <v>65</v>
      </c>
      <c r="AP11" s="40">
        <f>AM11*AO11</f>
        <v>143</v>
      </c>
      <c r="AX11" s="428"/>
      <c r="AY11" s="31" t="s">
        <v>19</v>
      </c>
      <c r="AZ11" s="31">
        <v>8</v>
      </c>
      <c r="BA11" s="21">
        <f>ROUND($AM$1*AZ11/1000,1)</f>
        <v>0.6</v>
      </c>
      <c r="BB11" s="22" t="s">
        <v>11</v>
      </c>
      <c r="BC11" s="23">
        <v>125</v>
      </c>
      <c r="BD11" s="24">
        <f>BA11*BC11</f>
        <v>75</v>
      </c>
    </row>
    <row r="12" spans="1:56" s="19" customFormat="1" ht="18.75" customHeight="1">
      <c r="A12" s="352"/>
      <c r="B12" s="158"/>
      <c r="C12" s="158"/>
      <c r="D12" s="159"/>
      <c r="E12" s="160"/>
      <c r="F12" s="23"/>
      <c r="G12" s="24">
        <f t="shared" si="0"/>
        <v>0</v>
      </c>
      <c r="H12" s="428"/>
      <c r="I12" s="31" t="s">
        <v>21</v>
      </c>
      <c r="J12" s="31">
        <v>30</v>
      </c>
      <c r="K12" s="21">
        <f>ROUND($AM$1*J12/1000,1)</f>
        <v>2.2</v>
      </c>
      <c r="L12" s="22" t="s">
        <v>11</v>
      </c>
      <c r="M12" s="23">
        <v>65</v>
      </c>
      <c r="N12" s="24">
        <f t="shared" si="1"/>
        <v>143</v>
      </c>
      <c r="O12" s="444"/>
      <c r="P12" s="31" t="s">
        <v>180</v>
      </c>
      <c r="Q12" s="31">
        <v>70</v>
      </c>
      <c r="R12" s="21">
        <f>ROUND($AM$1*Q12/1000,1)</f>
        <v>5</v>
      </c>
      <c r="S12" s="22" t="s">
        <v>11</v>
      </c>
      <c r="T12" s="23">
        <v>38</v>
      </c>
      <c r="U12" s="40">
        <f t="shared" si="3"/>
        <v>190</v>
      </c>
      <c r="V12" s="444"/>
      <c r="W12" s="49" t="s">
        <v>249</v>
      </c>
      <c r="X12" s="49"/>
      <c r="Y12" s="45" t="s">
        <v>15</v>
      </c>
      <c r="Z12" s="46"/>
      <c r="AA12" s="23"/>
      <c r="AB12" s="24"/>
      <c r="AC12" s="458"/>
      <c r="AD12" s="31" t="s">
        <v>19</v>
      </c>
      <c r="AE12" s="27">
        <v>10</v>
      </c>
      <c r="AF12" s="216">
        <f>ROUND($AM$1*AE12/1000,1)</f>
        <v>0.7</v>
      </c>
      <c r="AG12" s="47" t="s">
        <v>11</v>
      </c>
      <c r="AH12" s="23">
        <v>52</v>
      </c>
      <c r="AI12" s="40"/>
      <c r="AJ12" s="352"/>
      <c r="AK12" s="50"/>
      <c r="AL12" s="50"/>
      <c r="AM12" s="50"/>
      <c r="AN12" s="50"/>
      <c r="AO12" s="23"/>
      <c r="AP12" s="40"/>
      <c r="AX12" s="428"/>
      <c r="AY12" s="31" t="s">
        <v>125</v>
      </c>
      <c r="AZ12" s="31">
        <v>0</v>
      </c>
      <c r="BA12" s="21" t="s">
        <v>15</v>
      </c>
      <c r="BB12" s="22" t="s">
        <v>11</v>
      </c>
      <c r="BC12" s="23"/>
      <c r="BD12" s="24" t="e">
        <f>BA12*BC12</f>
        <v>#VALUE!</v>
      </c>
    </row>
    <row r="13" spans="1:56" s="19" customFormat="1" ht="18.75" customHeight="1">
      <c r="A13" s="352"/>
      <c r="B13" s="158"/>
      <c r="C13" s="158"/>
      <c r="D13" s="159"/>
      <c r="E13" s="160"/>
      <c r="F13" s="23"/>
      <c r="G13" s="24"/>
      <c r="H13" s="428"/>
      <c r="I13" s="31"/>
      <c r="J13" s="31"/>
      <c r="K13" s="92"/>
      <c r="L13" s="47"/>
      <c r="M13" s="23"/>
      <c r="N13" s="24"/>
      <c r="O13" s="444"/>
      <c r="P13" s="20" t="s">
        <v>178</v>
      </c>
      <c r="Q13" s="20">
        <v>10</v>
      </c>
      <c r="R13" s="21">
        <f>ROUND($AM$1*Q13/1000,1)</f>
        <v>0.7</v>
      </c>
      <c r="S13" s="22" t="s">
        <v>11</v>
      </c>
      <c r="T13" s="23">
        <v>25</v>
      </c>
      <c r="U13" s="40">
        <f t="shared" si="3"/>
        <v>17.5</v>
      </c>
      <c r="V13" s="444"/>
      <c r="W13" s="31" t="s">
        <v>250</v>
      </c>
      <c r="X13" s="31">
        <v>15</v>
      </c>
      <c r="Y13" s="21">
        <v>3</v>
      </c>
      <c r="Z13" s="22" t="s">
        <v>11</v>
      </c>
      <c r="AA13" s="23">
        <v>196</v>
      </c>
      <c r="AB13" s="24">
        <f t="shared" si="4"/>
        <v>588</v>
      </c>
      <c r="AC13" s="458"/>
      <c r="AD13" s="31"/>
      <c r="AE13" s="31"/>
      <c r="AF13" s="92"/>
      <c r="AG13" s="47"/>
      <c r="AH13" s="23"/>
      <c r="AI13" s="40"/>
      <c r="AJ13" s="352"/>
      <c r="AK13" s="50" t="s">
        <v>32</v>
      </c>
      <c r="AL13" s="50">
        <v>0.5</v>
      </c>
      <c r="AM13" s="21">
        <f>ROUND($AM$1*AL13,1)</f>
        <v>36</v>
      </c>
      <c r="AN13" s="82" t="s">
        <v>86</v>
      </c>
      <c r="AO13" s="23"/>
      <c r="AP13" s="40"/>
      <c r="AX13" s="428"/>
      <c r="AY13" s="31" t="s">
        <v>90</v>
      </c>
      <c r="AZ13" s="31">
        <v>1</v>
      </c>
      <c r="BA13" s="21" t="s">
        <v>15</v>
      </c>
      <c r="BB13" s="22" t="s">
        <v>11</v>
      </c>
      <c r="BC13" s="23"/>
      <c r="BD13" s="24" t="e">
        <f>BA13*BC13</f>
        <v>#VALUE!</v>
      </c>
    </row>
    <row r="14" spans="1:56" s="19" customFormat="1" ht="18.75" customHeight="1">
      <c r="A14" s="352"/>
      <c r="B14" s="161"/>
      <c r="C14" s="161"/>
      <c r="D14" s="159"/>
      <c r="E14" s="160"/>
      <c r="F14" s="23"/>
      <c r="G14" s="24"/>
      <c r="H14" s="428"/>
      <c r="I14" s="31"/>
      <c r="J14" s="31"/>
      <c r="K14" s="21"/>
      <c r="L14" s="22"/>
      <c r="M14" s="23"/>
      <c r="N14" s="24"/>
      <c r="O14" s="444"/>
      <c r="P14" s="20"/>
      <c r="Q14" s="20"/>
      <c r="R14" s="21"/>
      <c r="S14" s="22"/>
      <c r="T14" s="23"/>
      <c r="U14" s="40"/>
      <c r="V14" s="444"/>
      <c r="W14" s="49"/>
      <c r="X14" s="49"/>
      <c r="Y14" s="45"/>
      <c r="Z14" s="46"/>
      <c r="AA14" s="23"/>
      <c r="AB14" s="24"/>
      <c r="AC14" s="458"/>
      <c r="AD14" s="31"/>
      <c r="AE14" s="31"/>
      <c r="AF14" s="21"/>
      <c r="AG14" s="22"/>
      <c r="AH14" s="23"/>
      <c r="AI14" s="40"/>
      <c r="AJ14" s="352"/>
      <c r="AK14" s="33" t="s">
        <v>279</v>
      </c>
      <c r="AL14" s="33"/>
      <c r="AM14" s="92"/>
      <c r="AN14" s="92"/>
      <c r="AO14" s="23"/>
      <c r="AP14" s="40"/>
      <c r="AX14" s="428"/>
      <c r="AY14" s="31" t="s">
        <v>21</v>
      </c>
      <c r="AZ14" s="31">
        <v>30</v>
      </c>
      <c r="BA14" s="21">
        <f>ROUND($AM$1*AZ14/1000,1)</f>
        <v>2.2</v>
      </c>
      <c r="BB14" s="22" t="s">
        <v>11</v>
      </c>
      <c r="BC14" s="23"/>
      <c r="BD14" s="24"/>
    </row>
    <row r="15" spans="1:56" s="15" customFormat="1" ht="18.75" customHeight="1">
      <c r="A15" s="352"/>
      <c r="B15" s="161"/>
      <c r="C15" s="161"/>
      <c r="D15" s="159"/>
      <c r="E15" s="160"/>
      <c r="F15" s="23"/>
      <c r="G15" s="24"/>
      <c r="H15" s="428"/>
      <c r="I15" s="31"/>
      <c r="J15" s="31"/>
      <c r="K15" s="92"/>
      <c r="L15" s="47"/>
      <c r="M15" s="23"/>
      <c r="N15" s="24">
        <f>K15*M15</f>
        <v>0</v>
      </c>
      <c r="O15" s="444"/>
      <c r="P15" s="20"/>
      <c r="Q15" s="20"/>
      <c r="R15" s="21"/>
      <c r="S15" s="22"/>
      <c r="T15" s="23"/>
      <c r="U15" s="40">
        <f t="shared" si="3"/>
        <v>0</v>
      </c>
      <c r="V15" s="444"/>
      <c r="W15" s="299"/>
      <c r="X15" s="300"/>
      <c r="Y15" s="300"/>
      <c r="Z15" s="301"/>
      <c r="AA15" s="23"/>
      <c r="AB15" s="24"/>
      <c r="AC15" s="459"/>
      <c r="AD15" s="31"/>
      <c r="AE15" s="31"/>
      <c r="AF15" s="237"/>
      <c r="AG15" s="238"/>
      <c r="AH15" s="23"/>
      <c r="AI15" s="40">
        <f>AF15*AH15</f>
        <v>0</v>
      </c>
      <c r="AJ15" s="352"/>
      <c r="AK15" s="33"/>
      <c r="AL15" s="33"/>
      <c r="AM15" s="92"/>
      <c r="AN15" s="92"/>
      <c r="AO15" s="23"/>
      <c r="AP15" s="40">
        <f>AM15*AO15</f>
        <v>0</v>
      </c>
      <c r="AX15" s="428"/>
      <c r="AY15" s="31"/>
      <c r="AZ15" s="31"/>
      <c r="BA15" s="92"/>
      <c r="BB15" s="47"/>
      <c r="BC15" s="23"/>
      <c r="BD15" s="24"/>
    </row>
    <row r="16" spans="1:56" s="19" customFormat="1" ht="18.75" customHeight="1">
      <c r="A16" s="349" t="s">
        <v>12</v>
      </c>
      <c r="B16" s="349"/>
      <c r="C16" s="349"/>
      <c r="D16" s="349"/>
      <c r="E16" s="349"/>
      <c r="F16" s="151"/>
      <c r="G16" s="152"/>
      <c r="H16" s="349" t="s">
        <v>12</v>
      </c>
      <c r="I16" s="349"/>
      <c r="J16" s="349"/>
      <c r="K16" s="349"/>
      <c r="L16" s="349"/>
      <c r="M16" s="151"/>
      <c r="N16" s="153"/>
      <c r="O16" s="349" t="s">
        <v>12</v>
      </c>
      <c r="P16" s="349"/>
      <c r="Q16" s="349"/>
      <c r="R16" s="349"/>
      <c r="S16" s="349"/>
      <c r="T16" s="151"/>
      <c r="U16" s="153"/>
      <c r="V16" s="349" t="s">
        <v>12</v>
      </c>
      <c r="W16" s="349"/>
      <c r="X16" s="349"/>
      <c r="Y16" s="349"/>
      <c r="Z16" s="349"/>
      <c r="AA16" s="151"/>
      <c r="AB16" s="153"/>
      <c r="AC16" s="349" t="s">
        <v>12</v>
      </c>
      <c r="AD16" s="349"/>
      <c r="AE16" s="349"/>
      <c r="AF16" s="349"/>
      <c r="AG16" s="349"/>
      <c r="AH16" s="151"/>
      <c r="AI16" s="18"/>
      <c r="AJ16" s="349" t="s">
        <v>12</v>
      </c>
      <c r="AK16" s="349"/>
      <c r="AL16" s="349"/>
      <c r="AM16" s="349"/>
      <c r="AN16" s="349"/>
      <c r="AO16" s="151"/>
      <c r="AP16" s="18"/>
      <c r="AX16" s="428"/>
      <c r="AY16" s="31"/>
      <c r="AZ16" s="31"/>
      <c r="BA16" s="21"/>
      <c r="BB16" s="22"/>
      <c r="BC16" s="23"/>
      <c r="BD16" s="24"/>
    </row>
    <row r="17" spans="1:56" s="19" customFormat="1" ht="18.75" customHeight="1">
      <c r="A17" s="445" t="s">
        <v>177</v>
      </c>
      <c r="B17" s="31" t="s">
        <v>31</v>
      </c>
      <c r="C17" s="31">
        <v>10</v>
      </c>
      <c r="D17" s="82">
        <f>ROUND($AM$1*C17/300,0)</f>
        <v>2</v>
      </c>
      <c r="E17" s="24" t="s">
        <v>16</v>
      </c>
      <c r="F17" s="23">
        <v>65</v>
      </c>
      <c r="G17" s="24">
        <f aca="true" t="shared" si="5" ref="G17:G24">D17*F17</f>
        <v>130</v>
      </c>
      <c r="H17" s="435" t="s">
        <v>175</v>
      </c>
      <c r="I17" s="187" t="s">
        <v>102</v>
      </c>
      <c r="J17" s="188">
        <v>128</v>
      </c>
      <c r="K17" s="21">
        <f>ROUND($AM$1*J17/1000,0)</f>
        <v>9</v>
      </c>
      <c r="L17" s="29" t="s">
        <v>16</v>
      </c>
      <c r="M17" s="23">
        <v>96</v>
      </c>
      <c r="N17" s="24">
        <f>K17*M17</f>
        <v>864</v>
      </c>
      <c r="O17" s="443" t="s">
        <v>127</v>
      </c>
      <c r="P17" s="48" t="s">
        <v>227</v>
      </c>
      <c r="Q17" s="37">
        <v>42</v>
      </c>
      <c r="R17" s="21">
        <f>ROUND($AM$1*Q17/1000,1)</f>
        <v>3</v>
      </c>
      <c r="S17" s="22" t="s">
        <v>11</v>
      </c>
      <c r="T17" s="23"/>
      <c r="U17" s="24">
        <f>R17*T17</f>
        <v>0</v>
      </c>
      <c r="V17" s="432" t="s">
        <v>266</v>
      </c>
      <c r="W17" s="104" t="s">
        <v>102</v>
      </c>
      <c r="X17" s="218">
        <v>100</v>
      </c>
      <c r="Y17" s="21" t="s">
        <v>15</v>
      </c>
      <c r="Z17" s="22" t="s">
        <v>186</v>
      </c>
      <c r="AA17" s="23"/>
      <c r="AB17" s="24"/>
      <c r="AC17" s="443" t="s">
        <v>127</v>
      </c>
      <c r="AD17" s="48" t="s">
        <v>30</v>
      </c>
      <c r="AE17" s="37">
        <v>42</v>
      </c>
      <c r="AF17" s="21">
        <f>ROUND($AM$1*AE17/1000,1)</f>
        <v>3</v>
      </c>
      <c r="AG17" s="22" t="s">
        <v>11</v>
      </c>
      <c r="AH17" s="23"/>
      <c r="AI17" s="40">
        <f>AF17*AH17</f>
        <v>0</v>
      </c>
      <c r="AJ17" s="434" t="s">
        <v>284</v>
      </c>
      <c r="AK17" s="190" t="s">
        <v>280</v>
      </c>
      <c r="AL17" s="190">
        <v>15</v>
      </c>
      <c r="AM17" s="82" t="s">
        <v>15</v>
      </c>
      <c r="AN17" s="82" t="s">
        <v>11</v>
      </c>
      <c r="AO17" s="23"/>
      <c r="AP17" s="40"/>
      <c r="AX17" s="428"/>
      <c r="AY17" s="31"/>
      <c r="AZ17" s="31"/>
      <c r="BA17" s="92"/>
      <c r="BB17" s="47"/>
      <c r="BC17" s="23"/>
      <c r="BD17" s="24">
        <f>BA17*BC17</f>
        <v>0</v>
      </c>
    </row>
    <row r="18" spans="1:54" s="19" customFormat="1" ht="18.75" customHeight="1">
      <c r="A18" s="446"/>
      <c r="B18" s="31" t="s">
        <v>171</v>
      </c>
      <c r="C18" s="31">
        <v>17</v>
      </c>
      <c r="D18" s="21">
        <f>ROUND($AM$1*C18/500,)</f>
        <v>2</v>
      </c>
      <c r="E18" s="24" t="s">
        <v>14</v>
      </c>
      <c r="F18" s="23">
        <v>50</v>
      </c>
      <c r="G18" s="24">
        <f t="shared" si="5"/>
        <v>100</v>
      </c>
      <c r="H18" s="436"/>
      <c r="I18" s="20" t="s">
        <v>172</v>
      </c>
      <c r="J18" s="48"/>
      <c r="K18" s="21">
        <v>3</v>
      </c>
      <c r="L18" s="22" t="s">
        <v>24</v>
      </c>
      <c r="M18" s="23">
        <v>255</v>
      </c>
      <c r="N18" s="24">
        <f>K18*M18</f>
        <v>765</v>
      </c>
      <c r="O18" s="444"/>
      <c r="P18" s="48" t="s">
        <v>20</v>
      </c>
      <c r="Q18" s="37">
        <v>42</v>
      </c>
      <c r="R18" s="21">
        <f>ROUND($AM$1*Q18/1000,1)</f>
        <v>3</v>
      </c>
      <c r="S18" s="22" t="s">
        <v>11</v>
      </c>
      <c r="T18" s="23"/>
      <c r="U18" s="24">
        <f>R18*T18</f>
        <v>0</v>
      </c>
      <c r="V18" s="433"/>
      <c r="W18" s="285" t="s">
        <v>294</v>
      </c>
      <c r="X18" s="218">
        <v>0.83</v>
      </c>
      <c r="Y18" s="21">
        <v>4.2</v>
      </c>
      <c r="Z18" s="290" t="s">
        <v>42</v>
      </c>
      <c r="AA18" s="23">
        <v>102</v>
      </c>
      <c r="AB18" s="24">
        <f>Y18*AA18</f>
        <v>428.40000000000003</v>
      </c>
      <c r="AC18" s="444"/>
      <c r="AD18" s="48" t="s">
        <v>20</v>
      </c>
      <c r="AE18" s="37">
        <v>42</v>
      </c>
      <c r="AF18" s="21">
        <f>ROUND($AM$1*AE18/1000,1)</f>
        <v>3</v>
      </c>
      <c r="AG18" s="22" t="s">
        <v>11</v>
      </c>
      <c r="AH18" s="23"/>
      <c r="AI18" s="40">
        <f>AF18*AH18</f>
        <v>0</v>
      </c>
      <c r="AJ18" s="434"/>
      <c r="AK18" s="190" t="s">
        <v>281</v>
      </c>
      <c r="AL18" s="50"/>
      <c r="AM18" s="82" t="s">
        <v>15</v>
      </c>
      <c r="AN18" s="82" t="s">
        <v>11</v>
      </c>
      <c r="AO18" s="23"/>
      <c r="AP18" s="40"/>
      <c r="AX18" s="349" t="s">
        <v>12</v>
      </c>
      <c r="AY18" s="349"/>
      <c r="AZ18" s="349"/>
      <c r="BA18" s="349"/>
      <c r="BB18" s="349"/>
    </row>
    <row r="19" spans="1:56" s="19" customFormat="1" ht="18.75" customHeight="1">
      <c r="A19" s="446"/>
      <c r="B19" s="31" t="s">
        <v>58</v>
      </c>
      <c r="C19" s="31">
        <v>20</v>
      </c>
      <c r="D19" s="21">
        <f>ROUND($AM$1*C19/1000,1)</f>
        <v>1.4</v>
      </c>
      <c r="E19" s="24" t="s">
        <v>11</v>
      </c>
      <c r="F19" s="23">
        <v>63</v>
      </c>
      <c r="G19" s="24">
        <f t="shared" si="5"/>
        <v>88.19999999999999</v>
      </c>
      <c r="H19" s="436"/>
      <c r="I19" s="48" t="s">
        <v>173</v>
      </c>
      <c r="J19" s="48"/>
      <c r="K19" s="21"/>
      <c r="L19" s="22"/>
      <c r="M19" s="23"/>
      <c r="N19" s="24">
        <f>K19*M19</f>
        <v>0</v>
      </c>
      <c r="O19" s="444"/>
      <c r="P19" s="38" t="s">
        <v>130</v>
      </c>
      <c r="Q19" s="48">
        <v>42</v>
      </c>
      <c r="R19" s="21">
        <f>ROUND($AM$1*Q19/1000,1)</f>
        <v>3</v>
      </c>
      <c r="S19" s="22" t="s">
        <v>11</v>
      </c>
      <c r="T19" s="23"/>
      <c r="U19" s="24">
        <f>R19*T19</f>
        <v>0</v>
      </c>
      <c r="V19" s="433"/>
      <c r="W19" s="31" t="s">
        <v>282</v>
      </c>
      <c r="X19" s="218">
        <v>14</v>
      </c>
      <c r="Y19" s="21">
        <v>2</v>
      </c>
      <c r="Z19" s="22" t="s">
        <v>14</v>
      </c>
      <c r="AA19" s="23">
        <v>30</v>
      </c>
      <c r="AB19" s="24">
        <f>Y19*AA19</f>
        <v>60</v>
      </c>
      <c r="AC19" s="444"/>
      <c r="AD19" s="38" t="s">
        <v>99</v>
      </c>
      <c r="AE19" s="37">
        <v>42</v>
      </c>
      <c r="AF19" s="21">
        <f>ROUND($AM$1*AE19/1000,1)</f>
        <v>3</v>
      </c>
      <c r="AG19" s="22" t="s">
        <v>11</v>
      </c>
      <c r="AH19" s="23"/>
      <c r="AI19" s="40">
        <f>AF19*AH19</f>
        <v>0</v>
      </c>
      <c r="AJ19" s="434"/>
      <c r="AK19" s="50" t="s">
        <v>282</v>
      </c>
      <c r="AL19" s="50">
        <v>10</v>
      </c>
      <c r="AM19" s="82">
        <v>3</v>
      </c>
      <c r="AN19" s="82" t="s">
        <v>14</v>
      </c>
      <c r="AO19" s="23">
        <v>30</v>
      </c>
      <c r="AP19" s="40">
        <f>AM19*AO19</f>
        <v>90</v>
      </c>
      <c r="AX19" s="435" t="s">
        <v>175</v>
      </c>
      <c r="AY19" s="187" t="s">
        <v>102</v>
      </c>
      <c r="AZ19" s="188">
        <v>133</v>
      </c>
      <c r="BA19" s="188">
        <v>8</v>
      </c>
      <c r="BB19" s="29" t="s">
        <v>16</v>
      </c>
      <c r="BC19" s="23"/>
      <c r="BD19" s="24">
        <f>BA19*BC19</f>
        <v>0</v>
      </c>
    </row>
    <row r="20" spans="1:56" s="19" customFormat="1" ht="18.75" customHeight="1">
      <c r="A20" s="446"/>
      <c r="B20" s="285" t="s">
        <v>293</v>
      </c>
      <c r="C20" s="31">
        <v>5</v>
      </c>
      <c r="D20" s="286">
        <v>0.7</v>
      </c>
      <c r="E20" s="289" t="s">
        <v>42</v>
      </c>
      <c r="F20" s="23">
        <v>102</v>
      </c>
      <c r="G20" s="24">
        <f t="shared" si="5"/>
        <v>71.39999999999999</v>
      </c>
      <c r="H20" s="436"/>
      <c r="I20" s="41"/>
      <c r="J20" s="24"/>
      <c r="K20" s="24"/>
      <c r="L20" s="42"/>
      <c r="M20" s="23"/>
      <c r="N20" s="24">
        <f>K20*M20</f>
        <v>0</v>
      </c>
      <c r="O20" s="444"/>
      <c r="P20" s="31"/>
      <c r="Q20" s="31"/>
      <c r="R20" s="92"/>
      <c r="S20" s="47"/>
      <c r="T20" s="23"/>
      <c r="U20" s="24">
        <f>R20*T20</f>
        <v>0</v>
      </c>
      <c r="V20" s="433"/>
      <c r="W20" s="31" t="s">
        <v>185</v>
      </c>
      <c r="X20" s="31">
        <v>0.05</v>
      </c>
      <c r="Y20" s="25">
        <v>2</v>
      </c>
      <c r="Z20" s="29" t="s">
        <v>22</v>
      </c>
      <c r="AA20" s="23"/>
      <c r="AB20" s="24"/>
      <c r="AC20" s="444"/>
      <c r="AD20" s="31"/>
      <c r="AE20" s="31"/>
      <c r="AF20" s="92"/>
      <c r="AG20" s="47"/>
      <c r="AH20" s="23"/>
      <c r="AI20" s="40">
        <f>AF20*AH20</f>
        <v>0</v>
      </c>
      <c r="AJ20" s="434"/>
      <c r="AK20" s="294" t="s">
        <v>102</v>
      </c>
      <c r="AL20" s="307">
        <v>128</v>
      </c>
      <c r="AM20" s="308" t="s">
        <v>15</v>
      </c>
      <c r="AN20" s="29" t="s">
        <v>13</v>
      </c>
      <c r="AO20" s="23"/>
      <c r="AP20" s="40"/>
      <c r="AX20" s="436"/>
      <c r="AY20" s="20" t="s">
        <v>172</v>
      </c>
      <c r="AZ20" s="48"/>
      <c r="BA20" s="21">
        <v>4</v>
      </c>
      <c r="BB20" s="22" t="s">
        <v>24</v>
      </c>
      <c r="BC20" s="23"/>
      <c r="BD20" s="24">
        <f>BA20*BC20</f>
        <v>0</v>
      </c>
    </row>
    <row r="21" spans="1:56" s="19" customFormat="1" ht="18.75" customHeight="1">
      <c r="A21" s="446"/>
      <c r="B21" s="31" t="s">
        <v>21</v>
      </c>
      <c r="C21" s="31">
        <v>16</v>
      </c>
      <c r="D21" s="21">
        <f>ROUND($AM$1*C21/1000,1)</f>
        <v>1.2</v>
      </c>
      <c r="E21" s="24" t="s">
        <v>11</v>
      </c>
      <c r="F21" s="23">
        <v>35</v>
      </c>
      <c r="G21" s="24">
        <f t="shared" si="5"/>
        <v>42</v>
      </c>
      <c r="H21" s="436"/>
      <c r="I21" s="31" t="s">
        <v>32</v>
      </c>
      <c r="J21" s="31">
        <v>0.5</v>
      </c>
      <c r="K21" s="21">
        <f>ROUND($AM$1*J21,)</f>
        <v>36</v>
      </c>
      <c r="L21" s="22" t="s">
        <v>86</v>
      </c>
      <c r="M21" s="23"/>
      <c r="N21" s="24"/>
      <c r="O21" s="444"/>
      <c r="P21" s="104" t="s">
        <v>102</v>
      </c>
      <c r="Q21" s="25">
        <v>128</v>
      </c>
      <c r="R21" s="31" t="s">
        <v>15</v>
      </c>
      <c r="S21" s="42" t="s">
        <v>13</v>
      </c>
      <c r="T21" s="23"/>
      <c r="U21" s="24"/>
      <c r="V21" s="433"/>
      <c r="W21" s="37" t="s">
        <v>174</v>
      </c>
      <c r="X21" s="27">
        <v>69</v>
      </c>
      <c r="Y21" s="21">
        <f>ROUND($AM$1*X21/1000,1)</f>
        <v>5</v>
      </c>
      <c r="Z21" s="22" t="s">
        <v>11</v>
      </c>
      <c r="AA21" s="23"/>
      <c r="AB21" s="162">
        <f>Y21*AA21</f>
        <v>0</v>
      </c>
      <c r="AC21" s="444"/>
      <c r="AD21" s="104" t="s">
        <v>102</v>
      </c>
      <c r="AE21" s="25">
        <v>128</v>
      </c>
      <c r="AF21" s="31" t="s">
        <v>15</v>
      </c>
      <c r="AG21" s="42" t="s">
        <v>13</v>
      </c>
      <c r="AH21" s="23"/>
      <c r="AI21" s="40"/>
      <c r="AJ21" s="434"/>
      <c r="AK21" s="295" t="s">
        <v>231</v>
      </c>
      <c r="AL21" s="189"/>
      <c r="AM21" s="92"/>
      <c r="AN21" s="47"/>
      <c r="AO21" s="23"/>
      <c r="AP21" s="40"/>
      <c r="AX21" s="436"/>
      <c r="AY21" s="48" t="s">
        <v>173</v>
      </c>
      <c r="AZ21" s="48"/>
      <c r="BA21" s="21"/>
      <c r="BB21" s="22"/>
      <c r="BC21" s="23">
        <v>48</v>
      </c>
      <c r="BD21" s="24">
        <f>BA21*BC21</f>
        <v>0</v>
      </c>
    </row>
    <row r="22" spans="1:56" s="19" customFormat="1" ht="18.75" customHeight="1">
      <c r="A22" s="446"/>
      <c r="B22" s="104" t="s">
        <v>102</v>
      </c>
      <c r="C22" s="24">
        <v>16</v>
      </c>
      <c r="D22" s="31">
        <f>ROUND($AL$1*C22/1000,0)</f>
        <v>1</v>
      </c>
      <c r="E22" s="24" t="s">
        <v>13</v>
      </c>
      <c r="F22" s="23">
        <v>96</v>
      </c>
      <c r="G22" s="24">
        <f t="shared" si="5"/>
        <v>96</v>
      </c>
      <c r="H22" s="436"/>
      <c r="I22" s="415"/>
      <c r="J22" s="416"/>
      <c r="K22" s="416"/>
      <c r="L22" s="417"/>
      <c r="M22" s="23"/>
      <c r="N22" s="24"/>
      <c r="O22" s="444"/>
      <c r="P22" s="295" t="s">
        <v>233</v>
      </c>
      <c r="Q22" s="31"/>
      <c r="R22" s="92"/>
      <c r="S22" s="47"/>
      <c r="T22" s="23"/>
      <c r="U22" s="24"/>
      <c r="V22" s="433"/>
      <c r="W22" s="421" t="s">
        <v>215</v>
      </c>
      <c r="X22" s="422"/>
      <c r="Y22" s="422"/>
      <c r="Z22" s="423"/>
      <c r="AA22" s="23"/>
      <c r="AB22" s="163"/>
      <c r="AC22" s="444"/>
      <c r="AD22" s="295" t="s">
        <v>233</v>
      </c>
      <c r="AE22" s="31"/>
      <c r="AF22" s="92"/>
      <c r="AG22" s="47"/>
      <c r="AH22" s="23"/>
      <c r="AI22" s="40"/>
      <c r="AJ22" s="434"/>
      <c r="AK22" s="190" t="s">
        <v>283</v>
      </c>
      <c r="AL22" s="103"/>
      <c r="AM22" s="82"/>
      <c r="AN22" s="82"/>
      <c r="AO22" s="23"/>
      <c r="AP22" s="40"/>
      <c r="AX22" s="436"/>
      <c r="AY22" s="41"/>
      <c r="AZ22" s="24"/>
      <c r="BA22" s="24"/>
      <c r="BB22" s="42"/>
      <c r="BC22" s="23"/>
      <c r="BD22" s="24">
        <f>BA22*BC22</f>
        <v>0</v>
      </c>
    </row>
    <row r="23" spans="1:56" s="19" customFormat="1" ht="18.75" customHeight="1">
      <c r="A23" s="446"/>
      <c r="B23" s="41" t="s">
        <v>88</v>
      </c>
      <c r="C23" s="24">
        <v>5</v>
      </c>
      <c r="D23" s="21">
        <f>ROUND($AM$1*C23/1000,1)</f>
        <v>0.4</v>
      </c>
      <c r="E23" s="24" t="s">
        <v>11</v>
      </c>
      <c r="F23" s="23">
        <v>120</v>
      </c>
      <c r="G23" s="24">
        <f t="shared" si="5"/>
        <v>48</v>
      </c>
      <c r="H23" s="436"/>
      <c r="I23" s="418"/>
      <c r="J23" s="419"/>
      <c r="K23" s="419"/>
      <c r="L23" s="420"/>
      <c r="M23" s="23"/>
      <c r="N23" s="24"/>
      <c r="O23" s="444"/>
      <c r="P23" s="31"/>
      <c r="Q23" s="31"/>
      <c r="R23" s="92"/>
      <c r="S23" s="47"/>
      <c r="T23" s="23"/>
      <c r="U23" s="24"/>
      <c r="V23" s="433"/>
      <c r="W23" s="424" t="s">
        <v>268</v>
      </c>
      <c r="X23" s="425"/>
      <c r="Y23" s="425"/>
      <c r="Z23" s="426"/>
      <c r="AA23" s="23"/>
      <c r="AB23" s="24"/>
      <c r="AC23" s="444"/>
      <c r="AD23" s="31"/>
      <c r="AE23" s="31"/>
      <c r="AF23" s="92"/>
      <c r="AG23" s="47"/>
      <c r="AH23" s="23"/>
      <c r="AI23" s="40"/>
      <c r="AJ23" s="434"/>
      <c r="AK23" s="190"/>
      <c r="AL23" s="103"/>
      <c r="AM23" s="82"/>
      <c r="AN23" s="82"/>
      <c r="AO23" s="23"/>
      <c r="AP23" s="40"/>
      <c r="AX23" s="436"/>
      <c r="AY23" s="31" t="s">
        <v>32</v>
      </c>
      <c r="AZ23" s="31">
        <v>0.5</v>
      </c>
      <c r="BA23" s="21">
        <f>ROUND($AM$1*AZ23,)</f>
        <v>36</v>
      </c>
      <c r="BB23" s="22" t="s">
        <v>86</v>
      </c>
      <c r="BC23" s="23"/>
      <c r="BD23" s="24"/>
    </row>
    <row r="24" spans="1:56" s="19" customFormat="1" ht="18.75" customHeight="1" thickBot="1">
      <c r="A24" s="447"/>
      <c r="B24" s="226"/>
      <c r="C24" s="226"/>
      <c r="D24" s="227"/>
      <c r="E24" s="228"/>
      <c r="F24" s="230"/>
      <c r="G24" s="231">
        <f t="shared" si="5"/>
        <v>0</v>
      </c>
      <c r="H24" s="437"/>
      <c r="I24" s="226"/>
      <c r="J24" s="226"/>
      <c r="K24" s="228"/>
      <c r="L24" s="229"/>
      <c r="M24" s="230"/>
      <c r="N24" s="231"/>
      <c r="O24" s="444"/>
      <c r="P24" s="226"/>
      <c r="Q24" s="226"/>
      <c r="R24" s="108"/>
      <c r="S24" s="109"/>
      <c r="T24" s="230"/>
      <c r="U24" s="231">
        <f>R24*T24</f>
        <v>0</v>
      </c>
      <c r="V24" s="433"/>
      <c r="W24" s="305" t="s">
        <v>267</v>
      </c>
      <c r="X24" s="441"/>
      <c r="Y24" s="441"/>
      <c r="Z24" s="442"/>
      <c r="AA24" s="230"/>
      <c r="AB24" s="231"/>
      <c r="AC24" s="444"/>
      <c r="AD24" s="226"/>
      <c r="AE24" s="226"/>
      <c r="AF24" s="108"/>
      <c r="AG24" s="109"/>
      <c r="AH24" s="230"/>
      <c r="AI24" s="40">
        <f>AF24*AH24</f>
        <v>0</v>
      </c>
      <c r="AJ24" s="356"/>
      <c r="AK24" s="112"/>
      <c r="AL24" s="112"/>
      <c r="AM24" s="113"/>
      <c r="AN24" s="113"/>
      <c r="AO24" s="230"/>
      <c r="AP24" s="40">
        <f>AM24*AO24</f>
        <v>0</v>
      </c>
      <c r="AX24" s="436"/>
      <c r="AY24" s="415"/>
      <c r="AZ24" s="416"/>
      <c r="BA24" s="416"/>
      <c r="BB24" s="417"/>
      <c r="BC24" s="23">
        <v>40</v>
      </c>
      <c r="BD24" s="24"/>
    </row>
    <row r="25" spans="1:54" s="15" customFormat="1" ht="18.75" customHeight="1">
      <c r="A25" s="340" t="s">
        <v>105</v>
      </c>
      <c r="B25" s="116" t="s">
        <v>106</v>
      </c>
      <c r="C25" s="343">
        <v>2.9</v>
      </c>
      <c r="D25" s="343"/>
      <c r="E25" s="345"/>
      <c r="F25" s="346">
        <f>SUM(G6:G24)</f>
        <v>1134.8000000000002</v>
      </c>
      <c r="G25" s="347"/>
      <c r="H25" s="340" t="s">
        <v>105</v>
      </c>
      <c r="I25" s="116" t="s">
        <v>106</v>
      </c>
      <c r="J25" s="343">
        <v>2</v>
      </c>
      <c r="K25" s="343"/>
      <c r="L25" s="345"/>
      <c r="M25" s="346">
        <f>SUM(N6:N24)</f>
        <v>2627.4</v>
      </c>
      <c r="N25" s="347"/>
      <c r="O25" s="340" t="s">
        <v>105</v>
      </c>
      <c r="P25" s="116" t="s">
        <v>106</v>
      </c>
      <c r="Q25" s="343">
        <v>1.8</v>
      </c>
      <c r="R25" s="343"/>
      <c r="S25" s="345"/>
      <c r="T25" s="346">
        <f>SUM(U6:U24)</f>
        <v>487.29999999999995</v>
      </c>
      <c r="U25" s="347"/>
      <c r="V25" s="337" t="s">
        <v>105</v>
      </c>
      <c r="W25" s="116" t="s">
        <v>106</v>
      </c>
      <c r="X25" s="343">
        <v>2</v>
      </c>
      <c r="Y25" s="343"/>
      <c r="Z25" s="345"/>
      <c r="AA25" s="346">
        <f>SUM(AB6:AB24)</f>
        <v>1506.6000000000001</v>
      </c>
      <c r="AB25" s="347"/>
      <c r="AC25" s="340" t="s">
        <v>105</v>
      </c>
      <c r="AD25" s="116" t="s">
        <v>106</v>
      </c>
      <c r="AE25" s="343">
        <v>2</v>
      </c>
      <c r="AF25" s="343"/>
      <c r="AG25" s="344"/>
      <c r="AH25" s="346">
        <f>SUM(AI6:AI24)</f>
        <v>1115.4</v>
      </c>
      <c r="AI25" s="347"/>
      <c r="AJ25" s="438" t="s">
        <v>105</v>
      </c>
      <c r="AK25" s="318" t="s">
        <v>106</v>
      </c>
      <c r="AL25" s="343">
        <v>2.8</v>
      </c>
      <c r="AM25" s="343"/>
      <c r="AN25" s="345"/>
      <c r="AO25" s="346">
        <f>SUM(AP6:AP24)</f>
        <v>653</v>
      </c>
      <c r="AP25" s="347"/>
      <c r="AX25" s="436"/>
      <c r="AY25" s="418"/>
      <c r="AZ25" s="419"/>
      <c r="BA25" s="419"/>
      <c r="BB25" s="420"/>
    </row>
    <row r="26" spans="1:54" s="15" customFormat="1" ht="18.75" customHeight="1" thickBot="1">
      <c r="A26" s="341"/>
      <c r="B26" s="118" t="s">
        <v>107</v>
      </c>
      <c r="C26" s="323">
        <v>0.6</v>
      </c>
      <c r="D26" s="323"/>
      <c r="E26" s="324"/>
      <c r="F26" s="220"/>
      <c r="G26" s="172"/>
      <c r="H26" s="341"/>
      <c r="I26" s="118" t="s">
        <v>107</v>
      </c>
      <c r="J26" s="323">
        <v>0.5</v>
      </c>
      <c r="K26" s="323"/>
      <c r="L26" s="324"/>
      <c r="M26" s="120"/>
      <c r="N26" s="172"/>
      <c r="O26" s="341"/>
      <c r="P26" s="118" t="s">
        <v>107</v>
      </c>
      <c r="Q26" s="323">
        <v>0.5</v>
      </c>
      <c r="R26" s="323"/>
      <c r="S26" s="324"/>
      <c r="T26" s="220"/>
      <c r="U26" s="121"/>
      <c r="V26" s="338"/>
      <c r="W26" s="118" t="s">
        <v>107</v>
      </c>
      <c r="X26" s="323">
        <v>1.2</v>
      </c>
      <c r="Y26" s="323"/>
      <c r="Z26" s="324"/>
      <c r="AA26" s="173"/>
      <c r="AB26" s="172"/>
      <c r="AC26" s="341"/>
      <c r="AD26" s="118" t="s">
        <v>107</v>
      </c>
      <c r="AE26" s="323">
        <v>0.6</v>
      </c>
      <c r="AF26" s="323"/>
      <c r="AG26" s="336"/>
      <c r="AH26" s="174"/>
      <c r="AI26" s="316"/>
      <c r="AJ26" s="439"/>
      <c r="AK26" s="319" t="s">
        <v>107</v>
      </c>
      <c r="AL26" s="323">
        <v>0.7</v>
      </c>
      <c r="AM26" s="323"/>
      <c r="AN26" s="324"/>
      <c r="AO26" s="174"/>
      <c r="AP26" s="175"/>
      <c r="AX26" s="437"/>
      <c r="AY26" s="226"/>
      <c r="AZ26" s="226"/>
      <c r="BA26" s="228"/>
      <c r="BB26" s="229"/>
    </row>
    <row r="27" spans="1:54" s="15" customFormat="1" ht="18.75" customHeight="1">
      <c r="A27" s="341"/>
      <c r="B27" s="124" t="s">
        <v>108</v>
      </c>
      <c r="C27" s="323">
        <v>0.4</v>
      </c>
      <c r="D27" s="323"/>
      <c r="E27" s="324"/>
      <c r="F27" s="220"/>
      <c r="G27" s="172"/>
      <c r="H27" s="341"/>
      <c r="I27" s="124" t="s">
        <v>108</v>
      </c>
      <c r="J27" s="323">
        <v>0.5</v>
      </c>
      <c r="K27" s="323"/>
      <c r="L27" s="324"/>
      <c r="M27" s="120"/>
      <c r="N27" s="172"/>
      <c r="O27" s="341"/>
      <c r="P27" s="124" t="s">
        <v>108</v>
      </c>
      <c r="Q27" s="323">
        <v>0.5</v>
      </c>
      <c r="R27" s="323"/>
      <c r="S27" s="324"/>
      <c r="T27" s="220"/>
      <c r="U27" s="121"/>
      <c r="V27" s="338"/>
      <c r="W27" s="124" t="s">
        <v>108</v>
      </c>
      <c r="X27" s="323">
        <v>0.3</v>
      </c>
      <c r="Y27" s="323"/>
      <c r="Z27" s="324"/>
      <c r="AA27" s="173"/>
      <c r="AB27" s="172"/>
      <c r="AC27" s="341"/>
      <c r="AD27" s="124" t="s">
        <v>108</v>
      </c>
      <c r="AE27" s="323">
        <v>0.5</v>
      </c>
      <c r="AF27" s="323"/>
      <c r="AG27" s="336"/>
      <c r="AH27" s="174"/>
      <c r="AI27" s="316"/>
      <c r="AJ27" s="439"/>
      <c r="AK27" s="320" t="s">
        <v>108</v>
      </c>
      <c r="AL27" s="323">
        <v>0.4</v>
      </c>
      <c r="AM27" s="323"/>
      <c r="AN27" s="324"/>
      <c r="AO27" s="174"/>
      <c r="AP27" s="175"/>
      <c r="AX27" s="429" t="s">
        <v>105</v>
      </c>
      <c r="AY27" s="116" t="s">
        <v>106</v>
      </c>
      <c r="AZ27" s="343">
        <v>2</v>
      </c>
      <c r="BA27" s="343"/>
      <c r="BB27" s="345"/>
    </row>
    <row r="28" spans="1:54" s="15" customFormat="1" ht="18.75" customHeight="1">
      <c r="A28" s="341"/>
      <c r="B28" s="125" t="s">
        <v>109</v>
      </c>
      <c r="C28" s="323">
        <v>0.5</v>
      </c>
      <c r="D28" s="323"/>
      <c r="E28" s="324"/>
      <c r="F28" s="220"/>
      <c r="G28" s="172"/>
      <c r="H28" s="341"/>
      <c r="I28" s="125" t="s">
        <v>110</v>
      </c>
      <c r="J28" s="323">
        <v>0.5</v>
      </c>
      <c r="K28" s="323"/>
      <c r="L28" s="324"/>
      <c r="M28" s="120"/>
      <c r="N28" s="172"/>
      <c r="O28" s="341"/>
      <c r="P28" s="125" t="s">
        <v>109</v>
      </c>
      <c r="Q28" s="323">
        <v>0.5</v>
      </c>
      <c r="R28" s="323"/>
      <c r="S28" s="324"/>
      <c r="T28" s="220"/>
      <c r="U28" s="121"/>
      <c r="V28" s="338"/>
      <c r="W28" s="125" t="s">
        <v>110</v>
      </c>
      <c r="X28" s="323">
        <v>0.5</v>
      </c>
      <c r="Y28" s="323"/>
      <c r="Z28" s="324"/>
      <c r="AA28" s="173"/>
      <c r="AB28" s="172"/>
      <c r="AC28" s="341"/>
      <c r="AD28" s="125" t="s">
        <v>109</v>
      </c>
      <c r="AE28" s="323">
        <v>0.5</v>
      </c>
      <c r="AF28" s="323"/>
      <c r="AG28" s="336"/>
      <c r="AH28" s="174"/>
      <c r="AI28" s="316"/>
      <c r="AJ28" s="439"/>
      <c r="AK28" s="321" t="s">
        <v>109</v>
      </c>
      <c r="AL28" s="323">
        <v>0.5</v>
      </c>
      <c r="AM28" s="323"/>
      <c r="AN28" s="324"/>
      <c r="AO28" s="174"/>
      <c r="AP28" s="175"/>
      <c r="AX28" s="430"/>
      <c r="AY28" s="118" t="s">
        <v>107</v>
      </c>
      <c r="AZ28" s="323">
        <v>0.5</v>
      </c>
      <c r="BA28" s="323"/>
      <c r="BB28" s="324"/>
    </row>
    <row r="29" spans="1:54" s="15" customFormat="1" ht="18.75" customHeight="1">
      <c r="A29" s="341"/>
      <c r="B29" s="118" t="s">
        <v>111</v>
      </c>
      <c r="C29" s="323">
        <v>0</v>
      </c>
      <c r="D29" s="323"/>
      <c r="E29" s="324"/>
      <c r="F29" s="220"/>
      <c r="G29" s="172"/>
      <c r="H29" s="341"/>
      <c r="I29" s="118" t="s">
        <v>111</v>
      </c>
      <c r="J29" s="323">
        <v>0.5</v>
      </c>
      <c r="K29" s="323"/>
      <c r="L29" s="324"/>
      <c r="M29" s="120"/>
      <c r="N29" s="172"/>
      <c r="O29" s="341"/>
      <c r="P29" s="118" t="s">
        <v>111</v>
      </c>
      <c r="Q29" s="323">
        <v>1</v>
      </c>
      <c r="R29" s="323"/>
      <c r="S29" s="324"/>
      <c r="T29" s="220"/>
      <c r="U29" s="121"/>
      <c r="V29" s="338"/>
      <c r="W29" s="118" t="s">
        <v>111</v>
      </c>
      <c r="X29" s="323">
        <v>0.5</v>
      </c>
      <c r="Y29" s="323"/>
      <c r="Z29" s="324"/>
      <c r="AA29" s="173"/>
      <c r="AB29" s="172"/>
      <c r="AC29" s="341"/>
      <c r="AD29" s="118" t="s">
        <v>111</v>
      </c>
      <c r="AE29" s="323">
        <v>1</v>
      </c>
      <c r="AF29" s="323"/>
      <c r="AG29" s="336"/>
      <c r="AH29" s="174"/>
      <c r="AI29" s="316"/>
      <c r="AJ29" s="439"/>
      <c r="AK29" s="319" t="s">
        <v>111</v>
      </c>
      <c r="AL29" s="323">
        <v>0.3</v>
      </c>
      <c r="AM29" s="323"/>
      <c r="AN29" s="324"/>
      <c r="AO29" s="174"/>
      <c r="AP29" s="175"/>
      <c r="AX29" s="430"/>
      <c r="AY29" s="124" t="s">
        <v>108</v>
      </c>
      <c r="AZ29" s="323">
        <v>0.5</v>
      </c>
      <c r="BA29" s="323"/>
      <c r="BB29" s="324"/>
    </row>
    <row r="30" spans="1:54" s="15" customFormat="1" ht="18.75" customHeight="1">
      <c r="A30" s="341"/>
      <c r="B30" s="118" t="s">
        <v>112</v>
      </c>
      <c r="C30" s="323">
        <v>0.1</v>
      </c>
      <c r="D30" s="323"/>
      <c r="E30" s="324"/>
      <c r="F30" s="220"/>
      <c r="G30" s="172"/>
      <c r="H30" s="341"/>
      <c r="I30" s="118" t="s">
        <v>112</v>
      </c>
      <c r="J30" s="323">
        <v>0.6</v>
      </c>
      <c r="K30" s="323"/>
      <c r="L30" s="324"/>
      <c r="M30" s="126"/>
      <c r="N30" s="172"/>
      <c r="O30" s="341"/>
      <c r="P30" s="118" t="s">
        <v>112</v>
      </c>
      <c r="Q30" s="323">
        <v>0.6</v>
      </c>
      <c r="R30" s="323"/>
      <c r="S30" s="324"/>
      <c r="T30" s="220"/>
      <c r="U30" s="121"/>
      <c r="V30" s="338"/>
      <c r="W30" s="118" t="s">
        <v>112</v>
      </c>
      <c r="X30" s="323">
        <v>0.4</v>
      </c>
      <c r="Y30" s="323"/>
      <c r="Z30" s="324"/>
      <c r="AA30" s="173"/>
      <c r="AB30" s="172"/>
      <c r="AC30" s="341"/>
      <c r="AD30" s="118" t="s">
        <v>112</v>
      </c>
      <c r="AE30" s="323">
        <v>0.6</v>
      </c>
      <c r="AF30" s="323"/>
      <c r="AG30" s="336"/>
      <c r="AH30" s="174"/>
      <c r="AI30" s="316"/>
      <c r="AJ30" s="439"/>
      <c r="AK30" s="319" t="s">
        <v>112</v>
      </c>
      <c r="AL30" s="323">
        <v>0.6</v>
      </c>
      <c r="AM30" s="323"/>
      <c r="AN30" s="324"/>
      <c r="AO30" s="174"/>
      <c r="AP30" s="175"/>
      <c r="AX30" s="430"/>
      <c r="AY30" s="125" t="s">
        <v>110</v>
      </c>
      <c r="AZ30" s="323">
        <v>0.5</v>
      </c>
      <c r="BA30" s="323"/>
      <c r="BB30" s="324"/>
    </row>
    <row r="31" spans="1:54" s="15" customFormat="1" ht="18.75" customHeight="1" thickBot="1">
      <c r="A31" s="342"/>
      <c r="B31" s="127" t="s">
        <v>113</v>
      </c>
      <c r="C31" s="332">
        <f>C25*70+C26*75+C27*25+C28*45+C30*120+C29*60</f>
        <v>292.5</v>
      </c>
      <c r="D31" s="332"/>
      <c r="E31" s="333"/>
      <c r="F31" s="221"/>
      <c r="G31" s="129"/>
      <c r="H31" s="342"/>
      <c r="I31" s="127" t="s">
        <v>113</v>
      </c>
      <c r="J31" s="332">
        <f>J25*70+J26*75+J27*25+J28*45+J30*120+J29*60</f>
        <v>314.5</v>
      </c>
      <c r="K31" s="332"/>
      <c r="L31" s="333"/>
      <c r="M31" s="130"/>
      <c r="N31" s="129"/>
      <c r="O31" s="342"/>
      <c r="P31" s="127" t="s">
        <v>113</v>
      </c>
      <c r="Q31" s="332">
        <f>Q25*70+Q26*75+Q27*25+Q28*45+Q30*120+Q29*60</f>
        <v>330.5</v>
      </c>
      <c r="R31" s="332"/>
      <c r="S31" s="333"/>
      <c r="T31" s="221"/>
      <c r="U31" s="131"/>
      <c r="V31" s="339"/>
      <c r="W31" s="127" t="s">
        <v>113</v>
      </c>
      <c r="X31" s="332">
        <f>X25*70+X26*75+X27*25+X28*45+X30*120+X29*60</f>
        <v>338</v>
      </c>
      <c r="Y31" s="332"/>
      <c r="Z31" s="333"/>
      <c r="AA31" s="132"/>
      <c r="AB31" s="129"/>
      <c r="AC31" s="342"/>
      <c r="AD31" s="127" t="s">
        <v>113</v>
      </c>
      <c r="AE31" s="332">
        <f>AE25*70+AE26*75+AE27*25+AE28*45+AE30*120+AE29*60</f>
        <v>352</v>
      </c>
      <c r="AF31" s="332"/>
      <c r="AG31" s="334"/>
      <c r="AH31" s="176"/>
      <c r="AI31" s="317"/>
      <c r="AJ31" s="440"/>
      <c r="AK31" s="322" t="s">
        <v>113</v>
      </c>
      <c r="AL31" s="332">
        <f>AL25*70+AL26*75+AL27*25+AL28*45+AL30*120+AL29*60</f>
        <v>371</v>
      </c>
      <c r="AM31" s="332"/>
      <c r="AN31" s="333"/>
      <c r="AO31" s="176"/>
      <c r="AP31" s="177"/>
      <c r="AX31" s="430"/>
      <c r="AY31" s="118" t="s">
        <v>111</v>
      </c>
      <c r="AZ31" s="323">
        <v>0.5</v>
      </c>
      <c r="BA31" s="323"/>
      <c r="BB31" s="324"/>
    </row>
    <row r="32" spans="50:54" ht="22.5" customHeight="1">
      <c r="AX32" s="430"/>
      <c r="AY32" s="118" t="s">
        <v>112</v>
      </c>
      <c r="AZ32" s="323">
        <v>0.6</v>
      </c>
      <c r="BA32" s="323"/>
      <c r="BB32" s="324"/>
    </row>
    <row r="33" spans="1:255" s="19" customFormat="1" ht="19.5" customHeight="1" thickBot="1">
      <c r="A33" s="335" t="s">
        <v>114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141"/>
      <c r="AQ33" s="143"/>
      <c r="AR33" s="143"/>
      <c r="AS33" s="142"/>
      <c r="AT33" s="142"/>
      <c r="AU33" s="142"/>
      <c r="AV33" s="142"/>
      <c r="AW33" s="142"/>
      <c r="AX33" s="431"/>
      <c r="AY33" s="127" t="s">
        <v>113</v>
      </c>
      <c r="AZ33" s="332">
        <f>AZ27*70+AZ28*75+AZ29*25+AZ30*45+AZ32*120+AZ31*60</f>
        <v>314.5</v>
      </c>
      <c r="BA33" s="332"/>
      <c r="BB33" s="333"/>
      <c r="BC33" s="142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</row>
    <row r="34" spans="1:255" s="19" customFormat="1" ht="22.5" customHeight="1">
      <c r="A34" s="331" t="s">
        <v>115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141"/>
      <c r="AQ34" s="143"/>
      <c r="AR34" s="143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</row>
  </sheetData>
  <sheetProtection/>
  <mergeCells count="119">
    <mergeCell ref="AE26:AG26"/>
    <mergeCell ref="AE27:AG27"/>
    <mergeCell ref="AE28:AG28"/>
    <mergeCell ref="AE29:AG29"/>
    <mergeCell ref="AE30:AG30"/>
    <mergeCell ref="AE31:AG31"/>
    <mergeCell ref="AD2:AG2"/>
    <mergeCell ref="AD4:AG4"/>
    <mergeCell ref="AC5:AG5"/>
    <mergeCell ref="AC6:AC15"/>
    <mergeCell ref="AC16:AG16"/>
    <mergeCell ref="AC17:AC24"/>
    <mergeCell ref="AQ4:AT4"/>
    <mergeCell ref="AJ5:AN5"/>
    <mergeCell ref="AK4:AN4"/>
    <mergeCell ref="W2:Z2"/>
    <mergeCell ref="B4:E4"/>
    <mergeCell ref="AK2:AN2"/>
    <mergeCell ref="O2:O4"/>
    <mergeCell ref="P2:S2"/>
    <mergeCell ref="P4:S4"/>
    <mergeCell ref="AC2:AC4"/>
    <mergeCell ref="W4:Z4"/>
    <mergeCell ref="AJ2:AJ4"/>
    <mergeCell ref="V5:Z5"/>
    <mergeCell ref="A5:E5"/>
    <mergeCell ref="O5:S5"/>
    <mergeCell ref="H5:L5"/>
    <mergeCell ref="V2:V4"/>
    <mergeCell ref="A2:A4"/>
    <mergeCell ref="B2:E2"/>
    <mergeCell ref="H2:H4"/>
    <mergeCell ref="A17:A24"/>
    <mergeCell ref="H17:H24"/>
    <mergeCell ref="O17:O24"/>
    <mergeCell ref="I2:L2"/>
    <mergeCell ref="I4:L4"/>
    <mergeCell ref="A6:A15"/>
    <mergeCell ref="H6:H15"/>
    <mergeCell ref="O6:O15"/>
    <mergeCell ref="I22:L22"/>
    <mergeCell ref="I23:L23"/>
    <mergeCell ref="AJ6:AJ15"/>
    <mergeCell ref="A16:E16"/>
    <mergeCell ref="H16:L16"/>
    <mergeCell ref="O16:S16"/>
    <mergeCell ref="V16:Z16"/>
    <mergeCell ref="AJ16:AN16"/>
    <mergeCell ref="V6:V15"/>
    <mergeCell ref="V17:V24"/>
    <mergeCell ref="AJ17:AJ24"/>
    <mergeCell ref="AX19:AX26"/>
    <mergeCell ref="AJ25:AJ31"/>
    <mergeCell ref="AL25:AN25"/>
    <mergeCell ref="AO25:AP25"/>
    <mergeCell ref="X24:Z24"/>
    <mergeCell ref="X25:Z25"/>
    <mergeCell ref="AA25:AB25"/>
    <mergeCell ref="X29:Z29"/>
    <mergeCell ref="A25:A31"/>
    <mergeCell ref="C25:E25"/>
    <mergeCell ref="F25:G25"/>
    <mergeCell ref="H25:H31"/>
    <mergeCell ref="J25:L25"/>
    <mergeCell ref="M25:N25"/>
    <mergeCell ref="C26:E26"/>
    <mergeCell ref="J26:L26"/>
    <mergeCell ref="C28:E28"/>
    <mergeCell ref="J28:L28"/>
    <mergeCell ref="X28:Z28"/>
    <mergeCell ref="AL26:AN26"/>
    <mergeCell ref="C27:E27"/>
    <mergeCell ref="J27:L27"/>
    <mergeCell ref="Q27:S27"/>
    <mergeCell ref="X27:Z27"/>
    <mergeCell ref="AL27:AN27"/>
    <mergeCell ref="AC25:AC31"/>
    <mergeCell ref="AE25:AG25"/>
    <mergeCell ref="AH25:AI25"/>
    <mergeCell ref="AL30:AN30"/>
    <mergeCell ref="O25:O31"/>
    <mergeCell ref="Q25:S25"/>
    <mergeCell ref="T25:U25"/>
    <mergeCell ref="V25:V31"/>
    <mergeCell ref="J29:L29"/>
    <mergeCell ref="Q29:S29"/>
    <mergeCell ref="Q26:S26"/>
    <mergeCell ref="X26:Z26"/>
    <mergeCell ref="Q28:S28"/>
    <mergeCell ref="A1:L1"/>
    <mergeCell ref="P1:AK1"/>
    <mergeCell ref="C31:E31"/>
    <mergeCell ref="J31:L31"/>
    <mergeCell ref="Q31:S31"/>
    <mergeCell ref="X31:Z31"/>
    <mergeCell ref="C29:E29"/>
    <mergeCell ref="C30:E30"/>
    <mergeCell ref="J30:L30"/>
    <mergeCell ref="Q30:S30"/>
    <mergeCell ref="AZ29:BB29"/>
    <mergeCell ref="AZ30:BB30"/>
    <mergeCell ref="AZ31:BB31"/>
    <mergeCell ref="AZ32:BB32"/>
    <mergeCell ref="AZ33:BB33"/>
    <mergeCell ref="A34:AO34"/>
    <mergeCell ref="AL31:AN31"/>
    <mergeCell ref="A33:AO33"/>
    <mergeCell ref="AL29:AN29"/>
    <mergeCell ref="X30:Z30"/>
    <mergeCell ref="AY24:BB24"/>
    <mergeCell ref="AY25:BB25"/>
    <mergeCell ref="W22:Z22"/>
    <mergeCell ref="W23:Z23"/>
    <mergeCell ref="AL28:AN28"/>
    <mergeCell ref="AX8:AX17"/>
    <mergeCell ref="AX18:BB18"/>
    <mergeCell ref="AX27:AX33"/>
    <mergeCell ref="AZ27:BB27"/>
    <mergeCell ref="AZ28:BB28"/>
  </mergeCells>
  <printOptions/>
  <pageMargins left="0.1968503937007874" right="0.15748031496062992" top="0.3937007874015748" bottom="0.3937007874015748" header="0.5118110236220472" footer="0.5118110236220472"/>
  <pageSetup horizontalDpi="600" verticalDpi="600" orientation="landscape" paperSize="9" scale="5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6"/>
  <sheetViews>
    <sheetView view="pageBreakPreview" zoomScale="75" zoomScaleSheetLayoutView="75" zoomScalePageLayoutView="0" workbookViewId="0" topLeftCell="A1">
      <selection activeCell="I11" sqref="I11:L11"/>
    </sheetView>
  </sheetViews>
  <sheetFormatPr defaultColWidth="6.125" defaultRowHeight="22.5" customHeight="1"/>
  <cols>
    <col min="1" max="1" width="4.625" style="1" customWidth="1"/>
    <col min="2" max="2" width="18.25390625" style="2" customWidth="1"/>
    <col min="3" max="3" width="6.125" style="2" customWidth="1"/>
    <col min="4" max="5" width="5.25390625" style="2" customWidth="1"/>
    <col min="6" max="6" width="6.125" style="3" customWidth="1"/>
    <col min="7" max="7" width="6.125" style="4" customWidth="1"/>
    <col min="8" max="8" width="4.625" style="1" customWidth="1"/>
    <col min="9" max="9" width="16.125" style="2" customWidth="1"/>
    <col min="10" max="10" width="6.125" style="2" customWidth="1"/>
    <col min="11" max="12" width="5.25390625" style="2" customWidth="1"/>
    <col min="13" max="13" width="6.125" style="3" customWidth="1"/>
    <col min="14" max="14" width="6.125" style="4" customWidth="1"/>
    <col min="15" max="15" width="4.625" style="1" customWidth="1"/>
    <col min="16" max="16" width="14.875" style="2" customWidth="1"/>
    <col min="17" max="17" width="6.125" style="2" customWidth="1"/>
    <col min="18" max="18" width="4.50390625" style="2" customWidth="1"/>
    <col min="19" max="19" width="5.25390625" style="2" customWidth="1"/>
    <col min="20" max="20" width="6.125" style="3" customWidth="1"/>
    <col min="21" max="21" width="6.125" style="4" customWidth="1"/>
    <col min="22" max="22" width="4.625" style="5" customWidth="1"/>
    <col min="23" max="23" width="15.00390625" style="2" customWidth="1"/>
    <col min="24" max="24" width="5.50390625" style="2" customWidth="1"/>
    <col min="25" max="26" width="5.25390625" style="2" customWidth="1"/>
    <col min="27" max="27" width="6.125" style="3" customWidth="1"/>
    <col min="28" max="28" width="6.125" style="4" customWidth="1"/>
    <col min="29" max="29" width="4.625" style="1" customWidth="1"/>
    <col min="30" max="30" width="20.375" style="2" customWidth="1"/>
    <col min="31" max="31" width="6.125" style="2" customWidth="1"/>
    <col min="32" max="32" width="5.375" style="2" customWidth="1"/>
    <col min="33" max="33" width="4.50390625" style="2" customWidth="1"/>
    <col min="34" max="34" width="6.125" style="6" customWidth="1"/>
    <col min="35" max="35" width="6.125" style="4" customWidth="1"/>
    <col min="36" max="36" width="4.625" style="1" customWidth="1"/>
    <col min="37" max="37" width="14.00390625" style="2" customWidth="1"/>
    <col min="38" max="38" width="6.125" style="2" hidden="1" customWidth="1"/>
    <col min="39" max="40" width="5.25390625" style="2" customWidth="1"/>
    <col min="41" max="16384" width="6.125" style="7" customWidth="1"/>
  </cols>
  <sheetData>
    <row r="1" spans="1:256" s="14" customFormat="1" ht="30" customHeight="1">
      <c r="A1" s="409" t="str">
        <f>'第三周'!A1</f>
        <v>僑愛國民小學附幼111學年度下學期第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52"/>
      <c r="N1" s="53"/>
      <c r="O1" s="65">
        <f>'第三周'!O1+1</f>
        <v>19</v>
      </c>
      <c r="P1" s="360" t="str">
        <f>'第三周'!P1</f>
        <v>週點心食譜設計表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53">
        <v>72</v>
      </c>
      <c r="AF1" s="53">
        <v>72</v>
      </c>
      <c r="AG1" s="53"/>
      <c r="AH1" s="53"/>
      <c r="AI1" s="53"/>
      <c r="AJ1" s="52"/>
      <c r="AK1" s="52"/>
      <c r="AL1" s="53"/>
      <c r="AM1" s="53"/>
      <c r="AN1" s="53"/>
      <c r="AO1" s="53"/>
      <c r="AP1" s="54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s="15" customFormat="1" ht="18.75" customHeight="1">
      <c r="A2" s="449" t="s">
        <v>46</v>
      </c>
      <c r="B2" s="368">
        <f>'第三周'!B2+7</f>
        <v>45096</v>
      </c>
      <c r="C2" s="368"/>
      <c r="D2" s="368"/>
      <c r="E2" s="368"/>
      <c r="F2" s="55"/>
      <c r="G2" s="56"/>
      <c r="H2" s="451" t="s">
        <v>46</v>
      </c>
      <c r="I2" s="369">
        <f>B2+1</f>
        <v>45097</v>
      </c>
      <c r="J2" s="369"/>
      <c r="K2" s="369"/>
      <c r="L2" s="369"/>
      <c r="M2" s="57"/>
      <c r="N2" s="58"/>
      <c r="O2" s="451" t="s">
        <v>46</v>
      </c>
      <c r="P2" s="381">
        <f>I2+1</f>
        <v>45098</v>
      </c>
      <c r="Q2" s="381"/>
      <c r="R2" s="381"/>
      <c r="S2" s="381"/>
      <c r="T2" s="59"/>
      <c r="U2" s="60"/>
      <c r="V2" s="451" t="s">
        <v>46</v>
      </c>
      <c r="W2" s="376">
        <f>P2+1</f>
        <v>45099</v>
      </c>
      <c r="X2" s="376"/>
      <c r="Y2" s="376"/>
      <c r="Z2" s="376"/>
      <c r="AA2" s="61"/>
      <c r="AB2" s="62"/>
      <c r="AC2" s="449" t="s">
        <v>46</v>
      </c>
      <c r="AD2" s="384">
        <f>W2+1</f>
        <v>45100</v>
      </c>
      <c r="AE2" s="384"/>
      <c r="AF2" s="384"/>
      <c r="AG2" s="385"/>
      <c r="AH2" s="63"/>
      <c r="AI2" s="64"/>
      <c r="AJ2" s="449" t="s">
        <v>46</v>
      </c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spans="1:256" s="15" customFormat="1" ht="18.75" customHeight="1">
      <c r="A3" s="450"/>
      <c r="B3" s="16" t="s">
        <v>1</v>
      </c>
      <c r="C3" s="16" t="s">
        <v>25</v>
      </c>
      <c r="D3" s="51" t="s">
        <v>2</v>
      </c>
      <c r="E3" s="51" t="s">
        <v>3</v>
      </c>
      <c r="F3" s="66" t="s">
        <v>4</v>
      </c>
      <c r="G3" s="67" t="s">
        <v>5</v>
      </c>
      <c r="H3" s="452"/>
      <c r="I3" s="67" t="s">
        <v>1</v>
      </c>
      <c r="J3" s="67" t="s">
        <v>25</v>
      </c>
      <c r="K3" s="68" t="s">
        <v>2</v>
      </c>
      <c r="L3" s="68" t="s">
        <v>3</v>
      </c>
      <c r="M3" s="66" t="s">
        <v>4</v>
      </c>
      <c r="N3" s="69" t="s">
        <v>5</v>
      </c>
      <c r="O3" s="452"/>
      <c r="P3" s="67" t="s">
        <v>1</v>
      </c>
      <c r="Q3" s="67" t="s">
        <v>25</v>
      </c>
      <c r="R3" s="68" t="s">
        <v>2</v>
      </c>
      <c r="S3" s="68" t="s">
        <v>3</v>
      </c>
      <c r="T3" s="66" t="s">
        <v>4</v>
      </c>
      <c r="U3" s="69" t="s">
        <v>5</v>
      </c>
      <c r="V3" s="452"/>
      <c r="W3" s="67" t="s">
        <v>1</v>
      </c>
      <c r="X3" s="67" t="s">
        <v>25</v>
      </c>
      <c r="Y3" s="68" t="s">
        <v>2</v>
      </c>
      <c r="Z3" s="68" t="s">
        <v>3</v>
      </c>
      <c r="AA3" s="66" t="s">
        <v>4</v>
      </c>
      <c r="AB3" s="69" t="s">
        <v>5</v>
      </c>
      <c r="AC3" s="450"/>
      <c r="AD3" s="67" t="s">
        <v>1</v>
      </c>
      <c r="AE3" s="67" t="s">
        <v>25</v>
      </c>
      <c r="AF3" s="68" t="s">
        <v>2</v>
      </c>
      <c r="AG3" s="70" t="s">
        <v>3</v>
      </c>
      <c r="AH3" s="71" t="s">
        <v>4</v>
      </c>
      <c r="AI3" s="72" t="s">
        <v>5</v>
      </c>
      <c r="AJ3" s="450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40" s="12" customFormat="1" ht="18.75" customHeight="1" hidden="1">
      <c r="A4" s="450"/>
      <c r="B4" s="448" t="s">
        <v>47</v>
      </c>
      <c r="C4" s="448"/>
      <c r="D4" s="448"/>
      <c r="E4" s="448"/>
      <c r="F4" s="8"/>
      <c r="G4" s="9"/>
      <c r="H4" s="452"/>
      <c r="I4" s="448" t="s">
        <v>48</v>
      </c>
      <c r="J4" s="448"/>
      <c r="K4" s="448"/>
      <c r="L4" s="448"/>
      <c r="M4" s="8"/>
      <c r="N4" s="9"/>
      <c r="O4" s="452"/>
      <c r="P4" s="448" t="s">
        <v>49</v>
      </c>
      <c r="Q4" s="448"/>
      <c r="R4" s="448"/>
      <c r="S4" s="448"/>
      <c r="T4" s="10"/>
      <c r="U4" s="11"/>
      <c r="V4" s="452"/>
      <c r="W4" s="448" t="s">
        <v>50</v>
      </c>
      <c r="X4" s="448"/>
      <c r="Y4" s="448"/>
      <c r="Z4" s="448"/>
      <c r="AA4" s="8"/>
      <c r="AB4" s="13"/>
      <c r="AC4" s="450"/>
      <c r="AD4" s="453" t="s">
        <v>51</v>
      </c>
      <c r="AE4" s="453"/>
      <c r="AF4" s="453"/>
      <c r="AG4" s="454"/>
      <c r="AH4" s="8"/>
      <c r="AI4" s="9"/>
      <c r="AJ4" s="450"/>
      <c r="AK4" s="453" t="s">
        <v>51</v>
      </c>
      <c r="AL4" s="453"/>
      <c r="AM4" s="453"/>
      <c r="AN4" s="454"/>
    </row>
    <row r="5" spans="1:35" s="19" customFormat="1" ht="18.75" customHeight="1">
      <c r="A5" s="383" t="s">
        <v>10</v>
      </c>
      <c r="B5" s="379"/>
      <c r="C5" s="379"/>
      <c r="D5" s="379"/>
      <c r="E5" s="379"/>
      <c r="F5" s="151"/>
      <c r="G5" s="152"/>
      <c r="H5" s="383" t="s">
        <v>10</v>
      </c>
      <c r="I5" s="379"/>
      <c r="J5" s="379"/>
      <c r="K5" s="379"/>
      <c r="L5" s="379"/>
      <c r="M5" s="151"/>
      <c r="N5" s="153"/>
      <c r="O5" s="378" t="s">
        <v>10</v>
      </c>
      <c r="P5" s="379"/>
      <c r="Q5" s="379"/>
      <c r="R5" s="379"/>
      <c r="S5" s="379"/>
      <c r="T5" s="151"/>
      <c r="U5" s="153"/>
      <c r="V5" s="378" t="s">
        <v>10</v>
      </c>
      <c r="W5" s="379"/>
      <c r="X5" s="379"/>
      <c r="Y5" s="379"/>
      <c r="Z5" s="379"/>
      <c r="AA5" s="151"/>
      <c r="AB5" s="153"/>
      <c r="AC5" s="378" t="s">
        <v>10</v>
      </c>
      <c r="AD5" s="379"/>
      <c r="AE5" s="379"/>
      <c r="AF5" s="379"/>
      <c r="AG5" s="380"/>
      <c r="AH5" s="17"/>
      <c r="AI5" s="18"/>
    </row>
    <row r="6" spans="1:35" s="19" customFormat="1" ht="18.75" customHeight="1">
      <c r="A6" s="469" t="s">
        <v>252</v>
      </c>
      <c r="B6" s="222" t="s">
        <v>253</v>
      </c>
      <c r="C6" s="222">
        <v>2</v>
      </c>
      <c r="D6" s="222">
        <f>ROUND($AF$1*C6,0)</f>
        <v>144</v>
      </c>
      <c r="E6" s="92" t="s">
        <v>195</v>
      </c>
      <c r="F6" s="282"/>
      <c r="G6" s="24">
        <f aca="true" t="shared" si="0" ref="G6:G12">D6*F6</f>
        <v>0</v>
      </c>
      <c r="H6" s="469" t="s">
        <v>197</v>
      </c>
      <c r="I6" s="222" t="s">
        <v>198</v>
      </c>
      <c r="J6" s="222">
        <v>34</v>
      </c>
      <c r="K6" s="222">
        <f>ROUND($AF$1*J6/1000,1)</f>
        <v>2.4</v>
      </c>
      <c r="L6" s="222" t="s">
        <v>42</v>
      </c>
      <c r="M6" s="282"/>
      <c r="N6" s="24"/>
      <c r="O6" s="427" t="s">
        <v>189</v>
      </c>
      <c r="P6" s="33" t="s">
        <v>160</v>
      </c>
      <c r="Q6" s="33">
        <v>30</v>
      </c>
      <c r="R6" s="92" t="s">
        <v>15</v>
      </c>
      <c r="S6" s="92" t="s">
        <v>11</v>
      </c>
      <c r="T6" s="282"/>
      <c r="U6" s="40" t="e">
        <f aca="true" t="shared" si="1" ref="U6:U11">R6*T6</f>
        <v>#VALUE!</v>
      </c>
      <c r="V6" s="457" t="s">
        <v>203</v>
      </c>
      <c r="W6" s="33" t="s">
        <v>204</v>
      </c>
      <c r="X6" s="20">
        <v>2</v>
      </c>
      <c r="Y6" s="21">
        <f>ROUND($AF$1*X6/12,0)</f>
        <v>12</v>
      </c>
      <c r="Z6" s="22" t="s">
        <v>183</v>
      </c>
      <c r="AA6" s="282"/>
      <c r="AB6" s="24"/>
      <c r="AC6" s="443" t="s">
        <v>119</v>
      </c>
      <c r="AD6" s="31" t="s">
        <v>120</v>
      </c>
      <c r="AE6" s="31">
        <v>15</v>
      </c>
      <c r="AF6" s="21">
        <f>ROUND($AF$1*AE6/1000,0)</f>
        <v>1</v>
      </c>
      <c r="AG6" s="22" t="s">
        <v>42</v>
      </c>
      <c r="AH6" s="282"/>
      <c r="AI6" s="40">
        <f>AF6*AH6</f>
        <v>0</v>
      </c>
    </row>
    <row r="7" spans="1:35" s="19" customFormat="1" ht="18.75" customHeight="1">
      <c r="A7" s="470"/>
      <c r="B7" s="223" t="s">
        <v>217</v>
      </c>
      <c r="C7" s="39">
        <v>75</v>
      </c>
      <c r="D7" s="31">
        <f>ROUND($AE$1*C7/1000,0)</f>
        <v>5</v>
      </c>
      <c r="E7" s="92" t="s">
        <v>16</v>
      </c>
      <c r="F7" s="282"/>
      <c r="G7" s="24">
        <f t="shared" si="0"/>
        <v>0</v>
      </c>
      <c r="H7" s="470"/>
      <c r="I7" s="222" t="s">
        <v>154</v>
      </c>
      <c r="J7" s="222">
        <v>24</v>
      </c>
      <c r="K7" s="222">
        <f>ROUND($AF$1*J7/1000,1)</f>
        <v>1.7</v>
      </c>
      <c r="L7" s="222" t="s">
        <v>42</v>
      </c>
      <c r="M7" s="282"/>
      <c r="N7" s="24"/>
      <c r="O7" s="428"/>
      <c r="P7" s="31" t="s">
        <v>213</v>
      </c>
      <c r="Q7" s="31">
        <v>10</v>
      </c>
      <c r="R7" s="21" t="s">
        <v>15</v>
      </c>
      <c r="S7" s="22" t="s">
        <v>11</v>
      </c>
      <c r="T7" s="282"/>
      <c r="U7" s="40" t="e">
        <f t="shared" si="1"/>
        <v>#VALUE!</v>
      </c>
      <c r="V7" s="458"/>
      <c r="W7" s="20" t="s">
        <v>205</v>
      </c>
      <c r="X7" s="20">
        <v>28</v>
      </c>
      <c r="Y7" s="21">
        <f>ROUND($AF$1*X7/1000,1)</f>
        <v>2</v>
      </c>
      <c r="Z7" s="22" t="s">
        <v>11</v>
      </c>
      <c r="AA7" s="282"/>
      <c r="AB7" s="24"/>
      <c r="AC7" s="444"/>
      <c r="AD7" s="31" t="s">
        <v>58</v>
      </c>
      <c r="AE7" s="31">
        <v>20</v>
      </c>
      <c r="AF7" s="21">
        <f>ROUND($AF$1*AE7/1000,1)</f>
        <v>1.4</v>
      </c>
      <c r="AG7" s="22" t="s">
        <v>42</v>
      </c>
      <c r="AH7" s="282"/>
      <c r="AI7" s="40">
        <f aca="true" t="shared" si="2" ref="AI7:AI24">AF7*AH7</f>
        <v>0</v>
      </c>
    </row>
    <row r="8" spans="1:50" s="19" customFormat="1" ht="18.75" customHeight="1">
      <c r="A8" s="470"/>
      <c r="B8" s="104" t="s">
        <v>102</v>
      </c>
      <c r="C8" s="219">
        <v>75</v>
      </c>
      <c r="D8" s="31">
        <f>ROUND($AE$1*C8/1000,0)</f>
        <v>5</v>
      </c>
      <c r="E8" s="92" t="s">
        <v>16</v>
      </c>
      <c r="F8" s="282"/>
      <c r="G8" s="24">
        <f t="shared" si="0"/>
        <v>0</v>
      </c>
      <c r="H8" s="470"/>
      <c r="I8" s="222" t="s">
        <v>199</v>
      </c>
      <c r="J8" s="222">
        <v>1.5</v>
      </c>
      <c r="K8" s="222">
        <v>0.3</v>
      </c>
      <c r="L8" s="222" t="s">
        <v>42</v>
      </c>
      <c r="M8" s="282"/>
      <c r="N8" s="24"/>
      <c r="O8" s="428"/>
      <c r="P8" s="31" t="s">
        <v>188</v>
      </c>
      <c r="Q8" s="31">
        <v>41</v>
      </c>
      <c r="R8" s="21">
        <f>ROUND($AF$1*Q8/1000,1)</f>
        <v>3</v>
      </c>
      <c r="S8" s="22" t="s">
        <v>11</v>
      </c>
      <c r="T8" s="282"/>
      <c r="U8" s="40">
        <f t="shared" si="1"/>
        <v>0</v>
      </c>
      <c r="V8" s="458"/>
      <c r="W8" s="20" t="s">
        <v>206</v>
      </c>
      <c r="X8" s="20">
        <v>1</v>
      </c>
      <c r="Y8" s="21" t="s">
        <v>15</v>
      </c>
      <c r="Z8" s="22" t="s">
        <v>202</v>
      </c>
      <c r="AA8" s="282"/>
      <c r="AB8" s="24" t="e">
        <f>Y8*AA8</f>
        <v>#VALUE!</v>
      </c>
      <c r="AC8" s="444"/>
      <c r="AD8" s="31" t="s">
        <v>52</v>
      </c>
      <c r="AE8" s="44">
        <v>4</v>
      </c>
      <c r="AF8" s="216">
        <f>ROUND($AF$1*AE8/1000,1)</f>
        <v>0.3</v>
      </c>
      <c r="AG8" s="22" t="s">
        <v>42</v>
      </c>
      <c r="AH8" s="282"/>
      <c r="AI8" s="40">
        <f t="shared" si="2"/>
        <v>0</v>
      </c>
      <c r="AR8" s="457" t="s">
        <v>203</v>
      </c>
      <c r="AS8" s="33" t="s">
        <v>204</v>
      </c>
      <c r="AT8" s="20">
        <v>2</v>
      </c>
      <c r="AU8" s="21">
        <v>10</v>
      </c>
      <c r="AV8" s="22" t="s">
        <v>183</v>
      </c>
      <c r="AW8" s="23">
        <v>65</v>
      </c>
      <c r="AX8" s="24"/>
    </row>
    <row r="9" spans="1:50" s="19" customFormat="1" ht="18.75" customHeight="1">
      <c r="A9" s="470"/>
      <c r="B9" s="224"/>
      <c r="C9" s="25"/>
      <c r="D9" s="92"/>
      <c r="E9" s="92"/>
      <c r="F9" s="282"/>
      <c r="G9" s="24">
        <f t="shared" si="0"/>
        <v>0</v>
      </c>
      <c r="H9" s="470"/>
      <c r="I9" s="222" t="s">
        <v>200</v>
      </c>
      <c r="J9" s="222">
        <v>5</v>
      </c>
      <c r="K9" s="222">
        <v>0.3</v>
      </c>
      <c r="L9" s="222" t="s">
        <v>42</v>
      </c>
      <c r="M9" s="282"/>
      <c r="N9" s="24"/>
      <c r="O9" s="428"/>
      <c r="P9" s="31" t="s">
        <v>19</v>
      </c>
      <c r="Q9" s="31">
        <v>6</v>
      </c>
      <c r="R9" s="21">
        <f>ROUND($AF$1*Q9/1000,1)</f>
        <v>0.4</v>
      </c>
      <c r="S9" s="22" t="s">
        <v>11</v>
      </c>
      <c r="T9" s="282"/>
      <c r="U9" s="40">
        <f t="shared" si="1"/>
        <v>0</v>
      </c>
      <c r="V9" s="458"/>
      <c r="W9" s="31" t="s">
        <v>207</v>
      </c>
      <c r="X9" s="20">
        <v>10</v>
      </c>
      <c r="Y9" s="21">
        <f>ROUND($AF$1*X9/1000,1)</f>
        <v>0.7</v>
      </c>
      <c r="Z9" s="22" t="s">
        <v>11</v>
      </c>
      <c r="AA9" s="282"/>
      <c r="AB9" s="24"/>
      <c r="AC9" s="444"/>
      <c r="AD9" s="31"/>
      <c r="AE9" s="44"/>
      <c r="AF9" s="21"/>
      <c r="AG9" s="35"/>
      <c r="AH9" s="282"/>
      <c r="AI9" s="40">
        <f t="shared" si="2"/>
        <v>0</v>
      </c>
      <c r="AR9" s="458"/>
      <c r="AS9" s="20" t="s">
        <v>205</v>
      </c>
      <c r="AT9" s="20">
        <v>30</v>
      </c>
      <c r="AU9" s="21">
        <f>ROUND($AF$1*AT9/1000,1)</f>
        <v>2.2</v>
      </c>
      <c r="AV9" s="22" t="s">
        <v>11</v>
      </c>
      <c r="AW9" s="23">
        <v>45</v>
      </c>
      <c r="AX9" s="24">
        <f>AU9*AW9</f>
        <v>99.00000000000001</v>
      </c>
    </row>
    <row r="10" spans="1:50" s="19" customFormat="1" ht="18.75" customHeight="1">
      <c r="A10" s="470"/>
      <c r="B10" s="99"/>
      <c r="C10" s="100"/>
      <c r="D10" s="92"/>
      <c r="E10" s="92"/>
      <c r="F10" s="282"/>
      <c r="G10" s="24"/>
      <c r="H10" s="470"/>
      <c r="I10" s="222" t="s">
        <v>90</v>
      </c>
      <c r="J10" s="222">
        <v>0.5</v>
      </c>
      <c r="K10" s="222" t="s">
        <v>60</v>
      </c>
      <c r="L10" s="222" t="s">
        <v>42</v>
      </c>
      <c r="M10" s="282"/>
      <c r="N10" s="24"/>
      <c r="O10" s="428"/>
      <c r="P10" s="31" t="s">
        <v>221</v>
      </c>
      <c r="Q10" s="31">
        <v>3</v>
      </c>
      <c r="R10" s="21">
        <f>ROUND($AF$1*Q10/1000,1)</f>
        <v>0.2</v>
      </c>
      <c r="S10" s="22" t="s">
        <v>11</v>
      </c>
      <c r="T10" s="282"/>
      <c r="U10" s="40">
        <f t="shared" si="1"/>
        <v>0</v>
      </c>
      <c r="V10" s="458"/>
      <c r="W10" s="20" t="s">
        <v>208</v>
      </c>
      <c r="X10" s="20">
        <v>0.2</v>
      </c>
      <c r="Y10" s="21">
        <f>ROUND($AF$1*X10/5,0)</f>
        <v>3</v>
      </c>
      <c r="Z10" s="22" t="s">
        <v>202</v>
      </c>
      <c r="AA10" s="282"/>
      <c r="AB10" s="24"/>
      <c r="AC10" s="444"/>
      <c r="AD10" s="31" t="s">
        <v>55</v>
      </c>
      <c r="AE10" s="44">
        <v>1</v>
      </c>
      <c r="AF10" s="21">
        <f>ROUND($AF$1*AE10,0)</f>
        <v>72</v>
      </c>
      <c r="AG10" s="35" t="s">
        <v>27</v>
      </c>
      <c r="AH10" s="282"/>
      <c r="AI10" s="40">
        <f t="shared" si="2"/>
        <v>0</v>
      </c>
      <c r="AR10" s="458"/>
      <c r="AS10" s="20" t="s">
        <v>206</v>
      </c>
      <c r="AT10" s="20">
        <v>1</v>
      </c>
      <c r="AU10" s="21">
        <v>1</v>
      </c>
      <c r="AV10" s="22" t="s">
        <v>202</v>
      </c>
      <c r="AW10" s="23"/>
      <c r="AX10" s="24">
        <f>AU10*AW10</f>
        <v>0</v>
      </c>
    </row>
    <row r="11" spans="1:50" s="19" customFormat="1" ht="18.75" customHeight="1">
      <c r="A11" s="470"/>
      <c r="B11" s="224"/>
      <c r="C11" s="25"/>
      <c r="D11" s="25"/>
      <c r="E11" s="92"/>
      <c r="F11" s="282"/>
      <c r="G11" s="24">
        <f t="shared" si="0"/>
        <v>0</v>
      </c>
      <c r="H11" s="470"/>
      <c r="I11" s="20" t="s">
        <v>180</v>
      </c>
      <c r="J11" s="20">
        <v>70</v>
      </c>
      <c r="K11" s="31">
        <f>ROUND($AE$1*J11/1000,1)</f>
        <v>5</v>
      </c>
      <c r="L11" s="21" t="s">
        <v>11</v>
      </c>
      <c r="M11" s="282"/>
      <c r="N11" s="24"/>
      <c r="O11" s="428"/>
      <c r="P11" s="31" t="s">
        <v>190</v>
      </c>
      <c r="Q11" s="31">
        <v>3</v>
      </c>
      <c r="R11" s="21" t="s">
        <v>15</v>
      </c>
      <c r="S11" s="22" t="s">
        <v>11</v>
      </c>
      <c r="T11" s="282"/>
      <c r="U11" s="40" t="e">
        <f t="shared" si="1"/>
        <v>#VALUE!</v>
      </c>
      <c r="V11" s="458"/>
      <c r="W11" s="20" t="s">
        <v>180</v>
      </c>
      <c r="X11" s="20">
        <v>70</v>
      </c>
      <c r="Y11" s="21">
        <f>ROUND($AF$1*X11/1000,1)</f>
        <v>5</v>
      </c>
      <c r="Z11" s="22" t="s">
        <v>11</v>
      </c>
      <c r="AA11" s="282"/>
      <c r="AB11" s="24"/>
      <c r="AC11" s="444"/>
      <c r="AD11" s="31"/>
      <c r="AE11" s="31"/>
      <c r="AF11" s="21"/>
      <c r="AG11" s="22"/>
      <c r="AH11" s="282"/>
      <c r="AI11" s="40">
        <f t="shared" si="2"/>
        <v>0</v>
      </c>
      <c r="AR11" s="458"/>
      <c r="AS11" s="31" t="s">
        <v>207</v>
      </c>
      <c r="AT11" s="20">
        <v>10</v>
      </c>
      <c r="AU11" s="21">
        <f>ROUND($AF$1*AT11/1000,1)</f>
        <v>0.7</v>
      </c>
      <c r="AV11" s="22" t="s">
        <v>11</v>
      </c>
      <c r="AW11" s="23">
        <v>125</v>
      </c>
      <c r="AX11" s="24">
        <f>AU11*AW11</f>
        <v>87.5</v>
      </c>
    </row>
    <row r="12" spans="1:50" s="19" customFormat="1" ht="18.75" customHeight="1">
      <c r="A12" s="470"/>
      <c r="B12" s="99"/>
      <c r="C12" s="25"/>
      <c r="D12" s="219"/>
      <c r="E12" s="92"/>
      <c r="F12" s="282"/>
      <c r="G12" s="24">
        <f t="shared" si="0"/>
        <v>0</v>
      </c>
      <c r="H12" s="470"/>
      <c r="I12" s="222" t="s">
        <v>21</v>
      </c>
      <c r="J12" s="222">
        <v>30</v>
      </c>
      <c r="K12" s="31">
        <f>ROUND($AE$1*J12/1000,1)</f>
        <v>2.2</v>
      </c>
      <c r="L12" s="21" t="s">
        <v>11</v>
      </c>
      <c r="M12" s="282"/>
      <c r="N12" s="24"/>
      <c r="O12" s="428"/>
      <c r="P12" s="31" t="s">
        <v>90</v>
      </c>
      <c r="Q12" s="31">
        <v>0.5</v>
      </c>
      <c r="R12" s="21" t="s">
        <v>15</v>
      </c>
      <c r="S12" s="22" t="s">
        <v>11</v>
      </c>
      <c r="T12" s="282"/>
      <c r="U12" s="40"/>
      <c r="V12" s="458"/>
      <c r="W12" s="31"/>
      <c r="X12" s="31"/>
      <c r="Y12" s="92"/>
      <c r="Z12" s="47"/>
      <c r="AA12" s="282"/>
      <c r="AB12" s="24"/>
      <c r="AC12" s="444"/>
      <c r="AD12" s="155" t="s">
        <v>234</v>
      </c>
      <c r="AE12" s="156">
        <v>128</v>
      </c>
      <c r="AF12" s="31">
        <f>ROUND($AE$1*AE12/1000,0)</f>
        <v>9</v>
      </c>
      <c r="AG12" s="22" t="s">
        <v>13</v>
      </c>
      <c r="AH12" s="282"/>
      <c r="AI12" s="40">
        <f t="shared" si="2"/>
        <v>0</v>
      </c>
      <c r="AR12" s="458"/>
      <c r="AS12" s="20" t="s">
        <v>208</v>
      </c>
      <c r="AT12" s="20">
        <v>0.2</v>
      </c>
      <c r="AU12" s="21">
        <f>ROUND($AF$1*AT12/5,1)</f>
        <v>2.9</v>
      </c>
      <c r="AV12" s="22" t="s">
        <v>202</v>
      </c>
      <c r="AW12" s="23"/>
      <c r="AX12" s="24">
        <f>AU12*AW12</f>
        <v>0</v>
      </c>
    </row>
    <row r="13" spans="1:50" s="19" customFormat="1" ht="18.75" customHeight="1">
      <c r="A13" s="470"/>
      <c r="B13" s="224"/>
      <c r="C13" s="25"/>
      <c r="D13" s="92"/>
      <c r="E13" s="92"/>
      <c r="F13" s="282"/>
      <c r="G13" s="24"/>
      <c r="H13" s="470"/>
      <c r="I13" s="222"/>
      <c r="J13" s="222"/>
      <c r="K13" s="222"/>
      <c r="L13" s="222"/>
      <c r="M13" s="282"/>
      <c r="N13" s="24"/>
      <c r="O13" s="428"/>
      <c r="P13" s="31"/>
      <c r="Q13" s="31"/>
      <c r="R13" s="21"/>
      <c r="S13" s="22"/>
      <c r="T13" s="282"/>
      <c r="U13" s="40"/>
      <c r="V13" s="458"/>
      <c r="W13" s="31"/>
      <c r="X13" s="31"/>
      <c r="Y13" s="92"/>
      <c r="Z13" s="47"/>
      <c r="AA13" s="282"/>
      <c r="AB13" s="24"/>
      <c r="AC13" s="444"/>
      <c r="AD13" s="49"/>
      <c r="AE13" s="49"/>
      <c r="AF13" s="45"/>
      <c r="AG13" s="46"/>
      <c r="AH13" s="282"/>
      <c r="AI13" s="40"/>
      <c r="AR13" s="458"/>
      <c r="AS13" s="20" t="s">
        <v>180</v>
      </c>
      <c r="AT13" s="20">
        <v>40</v>
      </c>
      <c r="AU13" s="21">
        <v>3</v>
      </c>
      <c r="AV13" s="22" t="s">
        <v>11</v>
      </c>
      <c r="AW13" s="23"/>
      <c r="AX13" s="24">
        <f>AU13*AW13</f>
        <v>0</v>
      </c>
    </row>
    <row r="14" spans="1:50" s="19" customFormat="1" ht="18.75" customHeight="1">
      <c r="A14" s="470"/>
      <c r="B14" s="224"/>
      <c r="C14" s="25"/>
      <c r="D14" s="92"/>
      <c r="E14" s="92"/>
      <c r="F14" s="282"/>
      <c r="G14" s="24"/>
      <c r="H14" s="470"/>
      <c r="I14" s="222"/>
      <c r="J14" s="222"/>
      <c r="K14" s="222"/>
      <c r="L14" s="222"/>
      <c r="M14" s="282"/>
      <c r="N14" s="24"/>
      <c r="O14" s="428"/>
      <c r="P14" s="31"/>
      <c r="Q14" s="31"/>
      <c r="R14" s="21"/>
      <c r="S14" s="21"/>
      <c r="T14" s="282"/>
      <c r="U14" s="40"/>
      <c r="V14" s="458"/>
      <c r="W14" s="31"/>
      <c r="X14" s="31"/>
      <c r="Y14" s="92"/>
      <c r="Z14" s="47"/>
      <c r="AA14" s="282"/>
      <c r="AB14" s="24"/>
      <c r="AC14" s="444"/>
      <c r="AD14" s="49"/>
      <c r="AE14" s="49"/>
      <c r="AF14" s="45"/>
      <c r="AG14" s="46"/>
      <c r="AH14" s="282"/>
      <c r="AI14" s="40"/>
      <c r="AR14" s="458"/>
      <c r="AS14" s="31"/>
      <c r="AT14" s="31"/>
      <c r="AU14" s="92"/>
      <c r="AV14" s="47"/>
      <c r="AW14" s="23"/>
      <c r="AX14" s="24"/>
    </row>
    <row r="15" spans="1:50" s="15" customFormat="1" ht="18.75" customHeight="1">
      <c r="A15" s="470"/>
      <c r="B15" s="224"/>
      <c r="C15" s="25"/>
      <c r="D15" s="92"/>
      <c r="E15" s="92"/>
      <c r="F15" s="282"/>
      <c r="G15" s="24"/>
      <c r="H15" s="470"/>
      <c r="I15" s="222"/>
      <c r="J15" s="222"/>
      <c r="K15" s="222"/>
      <c r="L15" s="222"/>
      <c r="M15" s="282"/>
      <c r="N15" s="24"/>
      <c r="O15" s="428"/>
      <c r="P15" s="31"/>
      <c r="Q15" s="31"/>
      <c r="R15" s="92"/>
      <c r="S15" s="47"/>
      <c r="T15" s="282"/>
      <c r="U15" s="40"/>
      <c r="V15" s="459"/>
      <c r="W15" s="31"/>
      <c r="X15" s="31"/>
      <c r="Y15" s="92"/>
      <c r="Z15" s="47"/>
      <c r="AA15" s="282"/>
      <c r="AB15" s="24">
        <f>Y12*AA15</f>
        <v>0</v>
      </c>
      <c r="AC15" s="444"/>
      <c r="AD15" s="234" t="s">
        <v>214</v>
      </c>
      <c r="AE15" s="44"/>
      <c r="AF15" s="45"/>
      <c r="AG15" s="46"/>
      <c r="AH15" s="282"/>
      <c r="AI15" s="40"/>
      <c r="AR15" s="458"/>
      <c r="AS15" s="31"/>
      <c r="AT15" s="31"/>
      <c r="AU15" s="92"/>
      <c r="AV15" s="47"/>
      <c r="AW15" s="23"/>
      <c r="AX15" s="24"/>
    </row>
    <row r="16" spans="1:50" s="19" customFormat="1" ht="18.75" customHeight="1">
      <c r="A16" s="349" t="s">
        <v>12</v>
      </c>
      <c r="B16" s="349"/>
      <c r="C16" s="349"/>
      <c r="D16" s="349"/>
      <c r="E16" s="349"/>
      <c r="F16" s="283"/>
      <c r="G16" s="152"/>
      <c r="H16" s="349" t="s">
        <v>41</v>
      </c>
      <c r="I16" s="349"/>
      <c r="J16" s="349"/>
      <c r="K16" s="349"/>
      <c r="L16" s="350"/>
      <c r="M16" s="283"/>
      <c r="N16" s="153"/>
      <c r="O16" s="349" t="s">
        <v>12</v>
      </c>
      <c r="P16" s="349"/>
      <c r="Q16" s="349"/>
      <c r="R16" s="349"/>
      <c r="S16" s="349"/>
      <c r="T16" s="283"/>
      <c r="U16" s="153"/>
      <c r="V16" s="349" t="s">
        <v>12</v>
      </c>
      <c r="W16" s="349"/>
      <c r="X16" s="349"/>
      <c r="Y16" s="349"/>
      <c r="Z16" s="349"/>
      <c r="AA16" s="283"/>
      <c r="AB16" s="153"/>
      <c r="AC16" s="349" t="s">
        <v>12</v>
      </c>
      <c r="AD16" s="349"/>
      <c r="AE16" s="349"/>
      <c r="AF16" s="349"/>
      <c r="AG16" s="349"/>
      <c r="AH16" s="283"/>
      <c r="AI16" s="18"/>
      <c r="AR16" s="458"/>
      <c r="AS16" s="31"/>
      <c r="AT16" s="31"/>
      <c r="AU16" s="92"/>
      <c r="AV16" s="47"/>
      <c r="AW16" s="23"/>
      <c r="AX16" s="24"/>
    </row>
    <row r="17" spans="1:50" s="19" customFormat="1" ht="18.75" customHeight="1">
      <c r="A17" s="459" t="s">
        <v>265</v>
      </c>
      <c r="B17" s="232" t="s">
        <v>210</v>
      </c>
      <c r="C17" s="232">
        <v>10</v>
      </c>
      <c r="D17" s="21">
        <v>6</v>
      </c>
      <c r="E17" s="233" t="s">
        <v>14</v>
      </c>
      <c r="F17" s="282"/>
      <c r="G17" s="24">
        <f>D17*F17</f>
        <v>0</v>
      </c>
      <c r="H17" s="351" t="s">
        <v>92</v>
      </c>
      <c r="I17" s="25" t="s">
        <v>30</v>
      </c>
      <c r="J17" s="48">
        <v>42</v>
      </c>
      <c r="K17" s="21">
        <f>ROUND($AF$1*J17/1000,1)</f>
        <v>3</v>
      </c>
      <c r="L17" s="22" t="s">
        <v>11</v>
      </c>
      <c r="M17" s="282"/>
      <c r="N17" s="24">
        <f>K17*M17</f>
        <v>0</v>
      </c>
      <c r="O17" s="445" t="s">
        <v>219</v>
      </c>
      <c r="P17" s="31" t="s">
        <v>201</v>
      </c>
      <c r="Q17" s="31">
        <v>8</v>
      </c>
      <c r="R17" s="21" t="s">
        <v>15</v>
      </c>
      <c r="S17" s="43" t="s">
        <v>42</v>
      </c>
      <c r="T17" s="282"/>
      <c r="U17" s="24" t="e">
        <f>R17*T17</f>
        <v>#VALUE!</v>
      </c>
      <c r="V17" s="443" t="s">
        <v>127</v>
      </c>
      <c r="W17" s="48" t="s">
        <v>30</v>
      </c>
      <c r="X17" s="48">
        <v>42</v>
      </c>
      <c r="Y17" s="21">
        <f>ROUND($AF$1*X17/1000,1)</f>
        <v>3</v>
      </c>
      <c r="Z17" s="22" t="s">
        <v>11</v>
      </c>
      <c r="AA17" s="282"/>
      <c r="AB17" s="24"/>
      <c r="AC17" s="432" t="s">
        <v>128</v>
      </c>
      <c r="AD17" s="217" t="s">
        <v>129</v>
      </c>
      <c r="AE17" s="36">
        <v>1</v>
      </c>
      <c r="AF17" s="25">
        <v>3</v>
      </c>
      <c r="AG17" s="29" t="s">
        <v>14</v>
      </c>
      <c r="AH17" s="282"/>
      <c r="AI17" s="40">
        <f t="shared" si="2"/>
        <v>0</v>
      </c>
      <c r="AR17" s="459"/>
      <c r="AS17" s="31"/>
      <c r="AT17" s="31"/>
      <c r="AU17" s="92"/>
      <c r="AV17" s="47"/>
      <c r="AW17" s="23"/>
      <c r="AX17" s="24">
        <f>AU17*AW17</f>
        <v>0</v>
      </c>
    </row>
    <row r="18" spans="1:48" s="19" customFormat="1" ht="18.75" customHeight="1">
      <c r="A18" s="460"/>
      <c r="B18" s="20" t="s">
        <v>147</v>
      </c>
      <c r="C18" s="20">
        <v>20</v>
      </c>
      <c r="D18" s="21">
        <f>ROUND($AF$1*C18/600,0)</f>
        <v>2</v>
      </c>
      <c r="E18" s="35" t="s">
        <v>202</v>
      </c>
      <c r="F18" s="282"/>
      <c r="G18" s="24">
        <f>D18*F18</f>
        <v>0</v>
      </c>
      <c r="H18" s="352"/>
      <c r="I18" s="25" t="s">
        <v>196</v>
      </c>
      <c r="J18" s="48">
        <v>42</v>
      </c>
      <c r="K18" s="21">
        <f>ROUND($AF$1*J18/1000,1)</f>
        <v>3</v>
      </c>
      <c r="L18" s="22" t="s">
        <v>11</v>
      </c>
      <c r="M18" s="282"/>
      <c r="N18" s="24">
        <f>K18*M18</f>
        <v>0</v>
      </c>
      <c r="O18" s="446"/>
      <c r="P18" s="31" t="s">
        <v>220</v>
      </c>
      <c r="Q18" s="31">
        <v>12</v>
      </c>
      <c r="R18" s="31">
        <f>ROUND($AE$1*Q18/300,0)</f>
        <v>3</v>
      </c>
      <c r="S18" s="43" t="s">
        <v>24</v>
      </c>
      <c r="T18" s="282"/>
      <c r="U18" s="24">
        <f>R18*T18</f>
        <v>0</v>
      </c>
      <c r="V18" s="444"/>
      <c r="W18" s="48" t="s">
        <v>101</v>
      </c>
      <c r="X18" s="48">
        <v>42</v>
      </c>
      <c r="Y18" s="21">
        <f>ROUND($AF$1*X18/1000,1)</f>
        <v>3</v>
      </c>
      <c r="Z18" s="22" t="s">
        <v>11</v>
      </c>
      <c r="AA18" s="282"/>
      <c r="AB18" s="24">
        <f>Y18*AA18</f>
        <v>0</v>
      </c>
      <c r="AC18" s="433"/>
      <c r="AD18" s="27" t="s">
        <v>176</v>
      </c>
      <c r="AE18" s="27">
        <v>1</v>
      </c>
      <c r="AF18" s="25">
        <v>8</v>
      </c>
      <c r="AG18" s="29" t="s">
        <v>22</v>
      </c>
      <c r="AH18" s="282"/>
      <c r="AI18" s="40">
        <f t="shared" si="2"/>
        <v>0</v>
      </c>
      <c r="AR18" s="349" t="s">
        <v>12</v>
      </c>
      <c r="AS18" s="349"/>
      <c r="AT18" s="349"/>
      <c r="AU18" s="349"/>
      <c r="AV18" s="349"/>
    </row>
    <row r="19" spans="1:50" s="19" customFormat="1" ht="18.75" customHeight="1">
      <c r="A19" s="460"/>
      <c r="B19" s="20" t="s">
        <v>88</v>
      </c>
      <c r="C19" s="20">
        <v>10</v>
      </c>
      <c r="D19" s="21">
        <f>ROUND($AF$1*C19/1000,1)</f>
        <v>0.7</v>
      </c>
      <c r="E19" s="22" t="s">
        <v>11</v>
      </c>
      <c r="F19" s="282"/>
      <c r="G19" s="24">
        <f>D19*F19</f>
        <v>0</v>
      </c>
      <c r="H19" s="352"/>
      <c r="I19" s="25" t="s">
        <v>20</v>
      </c>
      <c r="J19" s="48">
        <v>42</v>
      </c>
      <c r="K19" s="21">
        <f>ROUND($AF$1*J19/1000,1)</f>
        <v>3</v>
      </c>
      <c r="L19" s="22" t="s">
        <v>11</v>
      </c>
      <c r="M19" s="282"/>
      <c r="N19" s="24">
        <f>K19*M19</f>
        <v>0</v>
      </c>
      <c r="O19" s="446"/>
      <c r="P19" s="104" t="s">
        <v>102</v>
      </c>
      <c r="Q19" s="31">
        <v>100</v>
      </c>
      <c r="R19" s="31" t="s">
        <v>15</v>
      </c>
      <c r="S19" s="42" t="s">
        <v>13</v>
      </c>
      <c r="T19" s="282"/>
      <c r="U19" s="24" t="e">
        <f>R19*T19</f>
        <v>#VALUE!</v>
      </c>
      <c r="V19" s="444"/>
      <c r="W19" s="38" t="s">
        <v>236</v>
      </c>
      <c r="X19" s="48">
        <v>42</v>
      </c>
      <c r="Y19" s="21">
        <f>ROUND($AF$1*X19/1500,1)</f>
        <v>2</v>
      </c>
      <c r="Z19" s="22" t="s">
        <v>22</v>
      </c>
      <c r="AA19" s="282"/>
      <c r="AB19" s="24">
        <f>Y19*AA19</f>
        <v>0</v>
      </c>
      <c r="AC19" s="433"/>
      <c r="AD19" s="27" t="s">
        <v>45</v>
      </c>
      <c r="AE19" s="27">
        <v>1</v>
      </c>
      <c r="AF19" s="25">
        <v>4</v>
      </c>
      <c r="AG19" s="29" t="s">
        <v>22</v>
      </c>
      <c r="AH19" s="282"/>
      <c r="AI19" s="40">
        <f t="shared" si="2"/>
        <v>0</v>
      </c>
      <c r="AR19" s="443" t="s">
        <v>127</v>
      </c>
      <c r="AS19" s="48" t="s">
        <v>30</v>
      </c>
      <c r="AT19" s="37">
        <v>45</v>
      </c>
      <c r="AU19" s="21">
        <f>ROUND($AF$1*AT19/1000,1)</f>
        <v>3.2</v>
      </c>
      <c r="AV19" s="22" t="s">
        <v>11</v>
      </c>
      <c r="AW19" s="23"/>
      <c r="AX19" s="24">
        <f>AU19*AW19</f>
        <v>0</v>
      </c>
    </row>
    <row r="20" spans="1:50" s="19" customFormat="1" ht="18.75" customHeight="1">
      <c r="A20" s="460"/>
      <c r="B20" s="31" t="s">
        <v>211</v>
      </c>
      <c r="C20" s="20">
        <v>3</v>
      </c>
      <c r="D20" s="21">
        <f>ROUND($AF$1*C20/1000,1)</f>
        <v>0.2</v>
      </c>
      <c r="E20" s="22" t="s">
        <v>11</v>
      </c>
      <c r="F20" s="282"/>
      <c r="G20" s="24">
        <f>D20*F20</f>
        <v>0</v>
      </c>
      <c r="H20" s="352"/>
      <c r="I20" s="27"/>
      <c r="J20" s="27"/>
      <c r="K20" s="92"/>
      <c r="L20" s="92"/>
      <c r="M20" s="282"/>
      <c r="N20" s="24">
        <f>K20*M20</f>
        <v>0</v>
      </c>
      <c r="O20" s="446"/>
      <c r="P20" s="31" t="s">
        <v>184</v>
      </c>
      <c r="Q20" s="31">
        <v>10</v>
      </c>
      <c r="R20" s="31">
        <f>ROUND($AE$1*Q20/1000,0)</f>
        <v>1</v>
      </c>
      <c r="S20" s="22" t="s">
        <v>14</v>
      </c>
      <c r="T20" s="282"/>
      <c r="U20" s="24">
        <f>R20*T20</f>
        <v>0</v>
      </c>
      <c r="V20" s="444"/>
      <c r="W20" s="31"/>
      <c r="X20" s="31"/>
      <c r="Y20" s="92"/>
      <c r="Z20" s="47"/>
      <c r="AA20" s="282"/>
      <c r="AB20" s="24">
        <f>Y20*AA20</f>
        <v>0</v>
      </c>
      <c r="AC20" s="433"/>
      <c r="AD20" s="38" t="s">
        <v>227</v>
      </c>
      <c r="AE20" s="27">
        <v>30</v>
      </c>
      <c r="AF20" s="21">
        <f>ROUND($AF$1*AE20/1000,0)</f>
        <v>2</v>
      </c>
      <c r="AG20" s="22" t="s">
        <v>11</v>
      </c>
      <c r="AH20" s="282"/>
      <c r="AI20" s="40">
        <f t="shared" si="2"/>
        <v>0</v>
      </c>
      <c r="AR20" s="444"/>
      <c r="AS20" s="48" t="s">
        <v>20</v>
      </c>
      <c r="AT20" s="37">
        <v>45</v>
      </c>
      <c r="AU20" s="21">
        <f>ROUND($AF$1*AT20/1000,1)</f>
        <v>3.2</v>
      </c>
      <c r="AV20" s="22" t="s">
        <v>11</v>
      </c>
      <c r="AW20" s="23"/>
      <c r="AX20" s="24">
        <f>AU20*AW20</f>
        <v>0</v>
      </c>
    </row>
    <row r="21" spans="1:50" s="19" customFormat="1" ht="18.75" customHeight="1">
      <c r="A21" s="460"/>
      <c r="B21" s="20" t="s">
        <v>212</v>
      </c>
      <c r="C21" s="20">
        <v>10</v>
      </c>
      <c r="D21" s="21" t="s">
        <v>15</v>
      </c>
      <c r="E21" s="22" t="s">
        <v>11</v>
      </c>
      <c r="F21" s="282"/>
      <c r="G21" s="24"/>
      <c r="H21" s="352"/>
      <c r="I21" s="104" t="s">
        <v>102</v>
      </c>
      <c r="J21" s="156">
        <v>128</v>
      </c>
      <c r="K21" s="31">
        <f>ROUND($AE$1*J21/1000,0)</f>
        <v>9</v>
      </c>
      <c r="L21" s="25" t="s">
        <v>13</v>
      </c>
      <c r="M21" s="282"/>
      <c r="N21" s="24"/>
      <c r="O21" s="446"/>
      <c r="P21" s="31"/>
      <c r="Q21" s="31"/>
      <c r="R21" s="21"/>
      <c r="S21" s="24"/>
      <c r="T21" s="282"/>
      <c r="U21" s="24">
        <f>R21*T21</f>
        <v>0</v>
      </c>
      <c r="V21" s="444"/>
      <c r="W21" s="104" t="s">
        <v>102</v>
      </c>
      <c r="X21" s="156">
        <v>128</v>
      </c>
      <c r="Y21" s="31" t="s">
        <v>15</v>
      </c>
      <c r="Z21" s="42" t="s">
        <v>13</v>
      </c>
      <c r="AA21" s="282"/>
      <c r="AB21" s="162" t="e">
        <f>Y21*AA21</f>
        <v>#VALUE!</v>
      </c>
      <c r="AC21" s="433"/>
      <c r="AD21" s="37" t="s">
        <v>101</v>
      </c>
      <c r="AE21" s="27">
        <v>42</v>
      </c>
      <c r="AF21" s="21">
        <f>ROUND($AF$1*AE21/1000,1)</f>
        <v>3</v>
      </c>
      <c r="AG21" s="22" t="s">
        <v>11</v>
      </c>
      <c r="AH21" s="282"/>
      <c r="AI21" s="40">
        <f t="shared" si="2"/>
        <v>0</v>
      </c>
      <c r="AR21" s="444"/>
      <c r="AS21" s="38" t="s">
        <v>99</v>
      </c>
      <c r="AT21" s="48">
        <v>56</v>
      </c>
      <c r="AU21" s="21">
        <f>ROUND($AF$1*AT21/1000,1)</f>
        <v>4</v>
      </c>
      <c r="AV21" s="22" t="s">
        <v>11</v>
      </c>
      <c r="AW21" s="23">
        <v>48</v>
      </c>
      <c r="AX21" s="24">
        <f>AU21*AW21</f>
        <v>192</v>
      </c>
    </row>
    <row r="22" spans="1:50" s="19" customFormat="1" ht="18.75" customHeight="1">
      <c r="A22" s="460"/>
      <c r="B22" s="234"/>
      <c r="C22" s="234"/>
      <c r="D22" s="191"/>
      <c r="E22" s="192"/>
      <c r="F22" s="282"/>
      <c r="G22" s="24"/>
      <c r="H22" s="352"/>
      <c r="I22" s="27"/>
      <c r="J22" s="27"/>
      <c r="K22" s="92"/>
      <c r="L22" s="92"/>
      <c r="M22" s="282"/>
      <c r="N22" s="24"/>
      <c r="O22" s="446"/>
      <c r="P22" s="295" t="s">
        <v>254</v>
      </c>
      <c r="Q22" s="24"/>
      <c r="R22" s="24"/>
      <c r="S22" s="24"/>
      <c r="T22" s="282"/>
      <c r="U22" s="24"/>
      <c r="V22" s="444"/>
      <c r="W22" s="295" t="s">
        <v>233</v>
      </c>
      <c r="X22" s="31"/>
      <c r="Y22" s="92"/>
      <c r="Z22" s="47"/>
      <c r="AA22" s="282"/>
      <c r="AB22" s="163"/>
      <c r="AC22" s="433"/>
      <c r="AD22" s="37" t="s">
        <v>64</v>
      </c>
      <c r="AE22" s="30"/>
      <c r="AF22" s="25" t="s">
        <v>15</v>
      </c>
      <c r="AG22" s="29" t="s">
        <v>11</v>
      </c>
      <c r="AH22" s="282"/>
      <c r="AI22" s="40"/>
      <c r="AR22" s="444"/>
      <c r="AS22" s="31"/>
      <c r="AT22" s="31"/>
      <c r="AU22" s="92"/>
      <c r="AV22" s="47"/>
      <c r="AW22" s="23"/>
      <c r="AX22" s="24">
        <f>AU22*AW22</f>
        <v>0</v>
      </c>
    </row>
    <row r="23" spans="1:50" s="19" customFormat="1" ht="18.75" customHeight="1">
      <c r="A23" s="460"/>
      <c r="B23" s="234"/>
      <c r="C23" s="234"/>
      <c r="D23" s="191"/>
      <c r="E23" s="192"/>
      <c r="F23" s="282"/>
      <c r="G23" s="24"/>
      <c r="H23" s="352"/>
      <c r="I23" s="27"/>
      <c r="J23" s="27"/>
      <c r="K23" s="92"/>
      <c r="L23" s="92"/>
      <c r="M23" s="282"/>
      <c r="N23" s="24"/>
      <c r="O23" s="446"/>
      <c r="P23" s="41"/>
      <c r="Q23" s="24"/>
      <c r="R23" s="21"/>
      <c r="S23" s="24"/>
      <c r="T23" s="282"/>
      <c r="U23" s="24"/>
      <c r="V23" s="444"/>
      <c r="W23" s="31"/>
      <c r="X23" s="31"/>
      <c r="Y23" s="92"/>
      <c r="Z23" s="47"/>
      <c r="AA23" s="282"/>
      <c r="AB23" s="24"/>
      <c r="AC23" s="433"/>
      <c r="AD23" s="28" t="s">
        <v>131</v>
      </c>
      <c r="AE23" s="28"/>
      <c r="AF23" s="463"/>
      <c r="AG23" s="464"/>
      <c r="AH23" s="282"/>
      <c r="AI23" s="40"/>
      <c r="AR23" s="444"/>
      <c r="AS23" s="104" t="s">
        <v>102</v>
      </c>
      <c r="AT23" s="25">
        <v>150</v>
      </c>
      <c r="AU23" s="31">
        <f>ROUND($AE$1*AT23/1000,0)</f>
        <v>11</v>
      </c>
      <c r="AV23" s="42" t="s">
        <v>13</v>
      </c>
      <c r="AW23" s="23"/>
      <c r="AX23" s="24"/>
    </row>
    <row r="24" spans="1:50" s="19" customFormat="1" ht="18.75" customHeight="1" thickBot="1">
      <c r="A24" s="460"/>
      <c r="B24" s="234"/>
      <c r="C24" s="234"/>
      <c r="D24" s="235"/>
      <c r="E24" s="236"/>
      <c r="F24" s="284"/>
      <c r="G24" s="167">
        <f>D24*F24</f>
        <v>0</v>
      </c>
      <c r="H24" s="413"/>
      <c r="I24" s="27"/>
      <c r="J24" s="27"/>
      <c r="K24" s="92"/>
      <c r="L24" s="92"/>
      <c r="M24" s="284"/>
      <c r="N24" s="167"/>
      <c r="O24" s="465"/>
      <c r="P24" s="164"/>
      <c r="Q24" s="164"/>
      <c r="R24" s="168"/>
      <c r="S24" s="169"/>
      <c r="T24" s="284"/>
      <c r="U24" s="167">
        <f>R24*T24</f>
        <v>0</v>
      </c>
      <c r="V24" s="466"/>
      <c r="W24" s="164"/>
      <c r="X24" s="164"/>
      <c r="Y24" s="165"/>
      <c r="Z24" s="166"/>
      <c r="AA24" s="284"/>
      <c r="AB24" s="167"/>
      <c r="AC24" s="467"/>
      <c r="AD24" s="170" t="s">
        <v>132</v>
      </c>
      <c r="AE24" s="471"/>
      <c r="AF24" s="471"/>
      <c r="AG24" s="472"/>
      <c r="AH24" s="284"/>
      <c r="AI24" s="40">
        <f t="shared" si="2"/>
        <v>0</v>
      </c>
      <c r="AR24" s="444"/>
      <c r="AS24" s="31"/>
      <c r="AT24" s="31"/>
      <c r="AU24" s="92"/>
      <c r="AV24" s="47"/>
      <c r="AW24" s="23">
        <v>40</v>
      </c>
      <c r="AX24" s="24"/>
    </row>
    <row r="25" spans="1:48" s="15" customFormat="1" ht="18.75" customHeight="1">
      <c r="A25" s="337" t="s">
        <v>105</v>
      </c>
      <c r="B25" s="116" t="s">
        <v>106</v>
      </c>
      <c r="C25" s="343">
        <v>2.5</v>
      </c>
      <c r="D25" s="343"/>
      <c r="E25" s="345"/>
      <c r="F25" s="348" t="e">
        <f>SUM(#REF!)</f>
        <v>#REF!</v>
      </c>
      <c r="G25" s="347"/>
      <c r="H25" s="340" t="s">
        <v>105</v>
      </c>
      <c r="I25" s="116" t="s">
        <v>106</v>
      </c>
      <c r="J25" s="343">
        <v>2</v>
      </c>
      <c r="K25" s="343"/>
      <c r="L25" s="345"/>
      <c r="M25" s="348" t="e">
        <f>SUM(#REF!)</f>
        <v>#REF!</v>
      </c>
      <c r="N25" s="347"/>
      <c r="O25" s="337" t="s">
        <v>105</v>
      </c>
      <c r="P25" s="116" t="s">
        <v>106</v>
      </c>
      <c r="Q25" s="343">
        <v>2.3</v>
      </c>
      <c r="R25" s="343"/>
      <c r="S25" s="345"/>
      <c r="T25" s="468" t="e">
        <f>SUM(#REF!)</f>
        <v>#REF!</v>
      </c>
      <c r="U25" s="348"/>
      <c r="V25" s="340" t="s">
        <v>105</v>
      </c>
      <c r="W25" s="116" t="s">
        <v>106</v>
      </c>
      <c r="X25" s="343">
        <v>2.5</v>
      </c>
      <c r="Y25" s="343"/>
      <c r="Z25" s="345"/>
      <c r="AA25" s="348" t="e">
        <f>SUM(#REF!)</f>
        <v>#REF!</v>
      </c>
      <c r="AB25" s="348"/>
      <c r="AC25" s="337" t="s">
        <v>105</v>
      </c>
      <c r="AD25" s="116" t="s">
        <v>106</v>
      </c>
      <c r="AE25" s="343">
        <v>2</v>
      </c>
      <c r="AF25" s="343"/>
      <c r="AG25" s="344"/>
      <c r="AH25" s="461" t="e">
        <f>SUM(#REF!)</f>
        <v>#REF!</v>
      </c>
      <c r="AI25" s="462"/>
      <c r="AJ25" s="171">
        <f>(C25+J25+Q25+X25+AE25)/5</f>
        <v>2.2600000000000002</v>
      </c>
      <c r="AR25" s="444"/>
      <c r="AS25" s="31"/>
      <c r="AT25" s="31"/>
      <c r="AU25" s="92"/>
      <c r="AV25" s="47"/>
    </row>
    <row r="26" spans="1:48" s="15" customFormat="1" ht="18.75" customHeight="1" thickBot="1">
      <c r="A26" s="338"/>
      <c r="B26" s="118" t="s">
        <v>107</v>
      </c>
      <c r="C26" s="323">
        <v>0.7</v>
      </c>
      <c r="D26" s="323"/>
      <c r="E26" s="324"/>
      <c r="F26" s="119"/>
      <c r="G26" s="172"/>
      <c r="H26" s="341"/>
      <c r="I26" s="118" t="s">
        <v>107</v>
      </c>
      <c r="J26" s="323">
        <v>0.8</v>
      </c>
      <c r="K26" s="323"/>
      <c r="L26" s="324"/>
      <c r="M26" s="120"/>
      <c r="N26" s="172"/>
      <c r="O26" s="338"/>
      <c r="P26" s="118" t="s">
        <v>107</v>
      </c>
      <c r="Q26" s="323">
        <v>0.3</v>
      </c>
      <c r="R26" s="323"/>
      <c r="S26" s="324"/>
      <c r="T26" s="120"/>
      <c r="U26" s="121"/>
      <c r="V26" s="341"/>
      <c r="W26" s="118" t="s">
        <v>107</v>
      </c>
      <c r="X26" s="323">
        <v>0.5</v>
      </c>
      <c r="Y26" s="323"/>
      <c r="Z26" s="324"/>
      <c r="AA26" s="173"/>
      <c r="AB26" s="172"/>
      <c r="AC26" s="338"/>
      <c r="AD26" s="118" t="s">
        <v>107</v>
      </c>
      <c r="AE26" s="323">
        <v>0.9</v>
      </c>
      <c r="AF26" s="323"/>
      <c r="AG26" s="336"/>
      <c r="AH26" s="174"/>
      <c r="AI26" s="175"/>
      <c r="AJ26" s="171">
        <f aca="true" t="shared" si="3" ref="AJ26:AJ31">(C26+J26+Q26+X26+AE26)/5</f>
        <v>0.6399999999999999</v>
      </c>
      <c r="AR26" s="466"/>
      <c r="AS26" s="164"/>
      <c r="AT26" s="164"/>
      <c r="AU26" s="165"/>
      <c r="AV26" s="166"/>
    </row>
    <row r="27" spans="1:48" s="15" customFormat="1" ht="18.75" customHeight="1">
      <c r="A27" s="338"/>
      <c r="B27" s="124" t="s">
        <v>108</v>
      </c>
      <c r="C27" s="323">
        <v>0.2</v>
      </c>
      <c r="D27" s="323"/>
      <c r="E27" s="324"/>
      <c r="F27" s="119"/>
      <c r="G27" s="172"/>
      <c r="H27" s="341"/>
      <c r="I27" s="124" t="s">
        <v>108</v>
      </c>
      <c r="J27" s="323">
        <v>0.3</v>
      </c>
      <c r="K27" s="323"/>
      <c r="L27" s="324"/>
      <c r="M27" s="120"/>
      <c r="N27" s="172"/>
      <c r="O27" s="338"/>
      <c r="P27" s="124" t="s">
        <v>108</v>
      </c>
      <c r="Q27" s="323">
        <v>0.6</v>
      </c>
      <c r="R27" s="323"/>
      <c r="S27" s="324"/>
      <c r="T27" s="120"/>
      <c r="U27" s="121"/>
      <c r="V27" s="341"/>
      <c r="W27" s="124" t="s">
        <v>108</v>
      </c>
      <c r="X27" s="323">
        <v>0.4</v>
      </c>
      <c r="Y27" s="323"/>
      <c r="Z27" s="324"/>
      <c r="AA27" s="173"/>
      <c r="AB27" s="172"/>
      <c r="AC27" s="338"/>
      <c r="AD27" s="124" t="s">
        <v>108</v>
      </c>
      <c r="AE27" s="323">
        <v>0.2</v>
      </c>
      <c r="AF27" s="323"/>
      <c r="AG27" s="336"/>
      <c r="AH27" s="174"/>
      <c r="AI27" s="175"/>
      <c r="AJ27" s="171">
        <f t="shared" si="3"/>
        <v>0.33999999999999997</v>
      </c>
      <c r="AR27" s="340" t="s">
        <v>105</v>
      </c>
      <c r="AS27" s="116" t="s">
        <v>106</v>
      </c>
      <c r="AT27" s="343">
        <v>2.5</v>
      </c>
      <c r="AU27" s="343"/>
      <c r="AV27" s="345"/>
    </row>
    <row r="28" spans="1:48" s="15" customFormat="1" ht="18.75" customHeight="1">
      <c r="A28" s="338"/>
      <c r="B28" s="125" t="s">
        <v>109</v>
      </c>
      <c r="C28" s="323">
        <v>0.5</v>
      </c>
      <c r="D28" s="323"/>
      <c r="E28" s="324"/>
      <c r="F28" s="119"/>
      <c r="G28" s="172"/>
      <c r="H28" s="341"/>
      <c r="I28" s="125" t="s">
        <v>109</v>
      </c>
      <c r="J28" s="323">
        <v>0.5</v>
      </c>
      <c r="K28" s="323"/>
      <c r="L28" s="324"/>
      <c r="M28" s="120"/>
      <c r="N28" s="172"/>
      <c r="O28" s="338"/>
      <c r="P28" s="125" t="s">
        <v>110</v>
      </c>
      <c r="Q28" s="323">
        <v>0.5</v>
      </c>
      <c r="R28" s="323"/>
      <c r="S28" s="324"/>
      <c r="T28" s="120"/>
      <c r="U28" s="121"/>
      <c r="V28" s="341"/>
      <c r="W28" s="125" t="s">
        <v>109</v>
      </c>
      <c r="X28" s="323">
        <v>0.5</v>
      </c>
      <c r="Y28" s="323"/>
      <c r="Z28" s="324"/>
      <c r="AA28" s="173"/>
      <c r="AB28" s="172"/>
      <c r="AC28" s="338"/>
      <c r="AD28" s="125" t="s">
        <v>110</v>
      </c>
      <c r="AE28" s="323">
        <v>0.5</v>
      </c>
      <c r="AF28" s="323"/>
      <c r="AG28" s="336"/>
      <c r="AH28" s="174"/>
      <c r="AI28" s="175"/>
      <c r="AJ28" s="171">
        <f t="shared" si="3"/>
        <v>0.5</v>
      </c>
      <c r="AR28" s="341"/>
      <c r="AS28" s="118" t="s">
        <v>107</v>
      </c>
      <c r="AT28" s="323">
        <v>0.5</v>
      </c>
      <c r="AU28" s="323"/>
      <c r="AV28" s="324"/>
    </row>
    <row r="29" spans="1:48" s="15" customFormat="1" ht="18.75" customHeight="1">
      <c r="A29" s="338"/>
      <c r="B29" s="118" t="s">
        <v>111</v>
      </c>
      <c r="C29" s="323">
        <v>0</v>
      </c>
      <c r="D29" s="323"/>
      <c r="E29" s="324"/>
      <c r="F29" s="119"/>
      <c r="G29" s="172"/>
      <c r="H29" s="341"/>
      <c r="I29" s="118" t="s">
        <v>111</v>
      </c>
      <c r="J29" s="323">
        <v>1</v>
      </c>
      <c r="K29" s="323"/>
      <c r="L29" s="324"/>
      <c r="M29" s="120"/>
      <c r="N29" s="172"/>
      <c r="O29" s="338"/>
      <c r="P29" s="118" t="s">
        <v>111</v>
      </c>
      <c r="Q29" s="323">
        <v>0</v>
      </c>
      <c r="R29" s="323"/>
      <c r="S29" s="324"/>
      <c r="T29" s="120"/>
      <c r="U29" s="121"/>
      <c r="V29" s="341"/>
      <c r="W29" s="118" t="s">
        <v>111</v>
      </c>
      <c r="X29" s="323">
        <v>1</v>
      </c>
      <c r="Y29" s="323"/>
      <c r="Z29" s="324"/>
      <c r="AA29" s="173"/>
      <c r="AB29" s="172"/>
      <c r="AC29" s="338"/>
      <c r="AD29" s="118" t="s">
        <v>111</v>
      </c>
      <c r="AE29" s="323">
        <v>1</v>
      </c>
      <c r="AF29" s="323"/>
      <c r="AG29" s="336"/>
      <c r="AH29" s="174"/>
      <c r="AI29" s="175"/>
      <c r="AJ29" s="171">
        <f t="shared" si="3"/>
        <v>0.6</v>
      </c>
      <c r="AP29" s="459" t="s">
        <v>209</v>
      </c>
      <c r="AQ29" s="232" t="s">
        <v>210</v>
      </c>
      <c r="AR29" s="341"/>
      <c r="AS29" s="124" t="s">
        <v>108</v>
      </c>
      <c r="AT29" s="323">
        <v>0.4</v>
      </c>
      <c r="AU29" s="323"/>
      <c r="AV29" s="324"/>
    </row>
    <row r="30" spans="1:48" s="15" customFormat="1" ht="18.75" customHeight="1">
      <c r="A30" s="338"/>
      <c r="B30" s="118" t="s">
        <v>112</v>
      </c>
      <c r="C30" s="323">
        <v>0.3</v>
      </c>
      <c r="D30" s="323"/>
      <c r="E30" s="324"/>
      <c r="F30" s="119"/>
      <c r="G30" s="172"/>
      <c r="H30" s="341"/>
      <c r="I30" s="118" t="s">
        <v>112</v>
      </c>
      <c r="J30" s="323">
        <v>0.6</v>
      </c>
      <c r="K30" s="323"/>
      <c r="L30" s="324"/>
      <c r="M30" s="126"/>
      <c r="N30" s="172"/>
      <c r="O30" s="338"/>
      <c r="P30" s="118" t="s">
        <v>112</v>
      </c>
      <c r="Q30" s="323">
        <v>0.4</v>
      </c>
      <c r="R30" s="323"/>
      <c r="S30" s="324"/>
      <c r="T30" s="120"/>
      <c r="U30" s="121"/>
      <c r="V30" s="341"/>
      <c r="W30" s="118" t="s">
        <v>112</v>
      </c>
      <c r="X30" s="323">
        <v>0.6</v>
      </c>
      <c r="Y30" s="323"/>
      <c r="Z30" s="324"/>
      <c r="AA30" s="173"/>
      <c r="AB30" s="172"/>
      <c r="AC30" s="338"/>
      <c r="AD30" s="118" t="s">
        <v>112</v>
      </c>
      <c r="AE30" s="323">
        <v>0.6</v>
      </c>
      <c r="AF30" s="323"/>
      <c r="AG30" s="336"/>
      <c r="AH30" s="174"/>
      <c r="AI30" s="175"/>
      <c r="AJ30" s="171">
        <f t="shared" si="3"/>
        <v>0.5</v>
      </c>
      <c r="AP30" s="460"/>
      <c r="AQ30" s="20" t="s">
        <v>147</v>
      </c>
      <c r="AR30" s="341"/>
      <c r="AS30" s="125" t="s">
        <v>109</v>
      </c>
      <c r="AT30" s="323">
        <v>0.5</v>
      </c>
      <c r="AU30" s="323"/>
      <c r="AV30" s="324"/>
    </row>
    <row r="31" spans="1:48" s="15" customFormat="1" ht="18.75" customHeight="1" thickBot="1">
      <c r="A31" s="339"/>
      <c r="B31" s="127" t="s">
        <v>113</v>
      </c>
      <c r="C31" s="332">
        <f>C25*70+C26*75+C27*25+C28*45+C30*120+C29*60</f>
        <v>291</v>
      </c>
      <c r="D31" s="332"/>
      <c r="E31" s="333"/>
      <c r="F31" s="128"/>
      <c r="G31" s="129"/>
      <c r="H31" s="342"/>
      <c r="I31" s="127" t="s">
        <v>113</v>
      </c>
      <c r="J31" s="332">
        <f>J25*70+J26*75+J27*25+J28*45+J30*120+J29*60</f>
        <v>362</v>
      </c>
      <c r="K31" s="332"/>
      <c r="L31" s="333"/>
      <c r="M31" s="130"/>
      <c r="N31" s="129"/>
      <c r="O31" s="339"/>
      <c r="P31" s="127" t="s">
        <v>113</v>
      </c>
      <c r="Q31" s="332">
        <f>Q25*70+Q26*75+Q27*25+Q28*45+Q30*120+Q29*60</f>
        <v>269</v>
      </c>
      <c r="R31" s="332"/>
      <c r="S31" s="333"/>
      <c r="T31" s="130"/>
      <c r="U31" s="131"/>
      <c r="V31" s="342"/>
      <c r="W31" s="127" t="s">
        <v>113</v>
      </c>
      <c r="X31" s="332">
        <f>X25*70+X26*75+X27*25+X28*45+X30*120+X29*60</f>
        <v>377</v>
      </c>
      <c r="Y31" s="332"/>
      <c r="Z31" s="333"/>
      <c r="AA31" s="132"/>
      <c r="AB31" s="129"/>
      <c r="AC31" s="339"/>
      <c r="AD31" s="127" t="s">
        <v>113</v>
      </c>
      <c r="AE31" s="332">
        <f>AE25*70+AE26*75+AE27*25+AE28*45+AE30*120+AE29*60</f>
        <v>367</v>
      </c>
      <c r="AF31" s="332"/>
      <c r="AG31" s="334"/>
      <c r="AH31" s="176"/>
      <c r="AI31" s="177"/>
      <c r="AJ31" s="171">
        <f t="shared" si="3"/>
        <v>333.2</v>
      </c>
      <c r="AP31" s="460"/>
      <c r="AQ31" s="20" t="s">
        <v>88</v>
      </c>
      <c r="AR31" s="341"/>
      <c r="AS31" s="118" t="s">
        <v>111</v>
      </c>
      <c r="AT31" s="323">
        <v>1</v>
      </c>
      <c r="AU31" s="323"/>
      <c r="AV31" s="324"/>
    </row>
    <row r="32" spans="42:48" ht="22.5" customHeight="1">
      <c r="AP32" s="460"/>
      <c r="AQ32" s="31" t="s">
        <v>211</v>
      </c>
      <c r="AR32" s="341"/>
      <c r="AS32" s="118" t="s">
        <v>112</v>
      </c>
      <c r="AT32" s="323">
        <v>0.6</v>
      </c>
      <c r="AU32" s="323"/>
      <c r="AV32" s="324"/>
    </row>
    <row r="33" spans="1:256" s="19" customFormat="1" ht="19.5" customHeight="1" thickBot="1">
      <c r="A33" s="335" t="s">
        <v>114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141"/>
      <c r="AJ33" s="142"/>
      <c r="AK33" s="143"/>
      <c r="AL33" s="143"/>
      <c r="AM33" s="142"/>
      <c r="AN33" s="142"/>
      <c r="AO33" s="142"/>
      <c r="AP33" s="460"/>
      <c r="AQ33" s="20" t="s">
        <v>212</v>
      </c>
      <c r="AR33" s="342"/>
      <c r="AS33" s="127" t="s">
        <v>113</v>
      </c>
      <c r="AT33" s="332">
        <f>AT27*70+AT28*75+AT29*25+AT30*45+AT32*120+AT31*60</f>
        <v>377</v>
      </c>
      <c r="AU33" s="332"/>
      <c r="AV33" s="333"/>
      <c r="AW33" s="142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 s="19" customFormat="1" ht="22.5" customHeight="1">
      <c r="A34" s="331" t="s">
        <v>115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141"/>
      <c r="AJ34" s="142"/>
      <c r="AK34" s="143"/>
      <c r="AL34" s="143"/>
      <c r="AM34" s="142"/>
      <c r="AN34" s="142"/>
      <c r="AO34" s="142"/>
      <c r="AP34" s="460"/>
      <c r="AQ34" s="234"/>
      <c r="AR34" s="234"/>
      <c r="AS34" s="191"/>
      <c r="AT34" s="192"/>
      <c r="AU34" s="142"/>
      <c r="AV34" s="142"/>
      <c r="AW34" s="142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42:46" ht="22.5" customHeight="1">
      <c r="AP35" s="460"/>
      <c r="AQ35" s="234"/>
      <c r="AR35" s="234"/>
      <c r="AS35" s="191"/>
      <c r="AT35" s="192"/>
    </row>
    <row r="36" spans="42:46" ht="22.5" customHeight="1">
      <c r="AP36" s="460"/>
      <c r="AQ36" s="234"/>
      <c r="AR36" s="234"/>
      <c r="AS36" s="235"/>
      <c r="AT36" s="236"/>
    </row>
  </sheetData>
  <sheetProtection/>
  <mergeCells count="100">
    <mergeCell ref="AE24:AG24"/>
    <mergeCell ref="AR19:AR26"/>
    <mergeCell ref="O25:O31"/>
    <mergeCell ref="A5:E5"/>
    <mergeCell ref="B4:E4"/>
    <mergeCell ref="A2:A4"/>
    <mergeCell ref="B2:E2"/>
    <mergeCell ref="AJ2:AJ4"/>
    <mergeCell ref="I4:L4"/>
    <mergeCell ref="P4:S4"/>
    <mergeCell ref="A1:L1"/>
    <mergeCell ref="P1:AD1"/>
    <mergeCell ref="H2:H4"/>
    <mergeCell ref="I2:L2"/>
    <mergeCell ref="O2:O4"/>
    <mergeCell ref="P2:S2"/>
    <mergeCell ref="V2:V4"/>
    <mergeCell ref="W2:Z2"/>
    <mergeCell ref="AC2:AC4"/>
    <mergeCell ref="AD2:AG2"/>
    <mergeCell ref="W4:Z4"/>
    <mergeCell ref="AD4:AG4"/>
    <mergeCell ref="AK4:AN4"/>
    <mergeCell ref="H5:L5"/>
    <mergeCell ref="O5:S5"/>
    <mergeCell ref="V5:Z5"/>
    <mergeCell ref="AC5:AG5"/>
    <mergeCell ref="A6:A15"/>
    <mergeCell ref="H6:H15"/>
    <mergeCell ref="O6:O15"/>
    <mergeCell ref="V6:V15"/>
    <mergeCell ref="AC6:AC15"/>
    <mergeCell ref="V16:Z16"/>
    <mergeCell ref="AC16:AG16"/>
    <mergeCell ref="A17:A24"/>
    <mergeCell ref="H17:H24"/>
    <mergeCell ref="O17:O24"/>
    <mergeCell ref="V17:V24"/>
    <mergeCell ref="AC17:AC24"/>
    <mergeCell ref="Q25:S25"/>
    <mergeCell ref="T25:U25"/>
    <mergeCell ref="V25:V31"/>
    <mergeCell ref="C26:E26"/>
    <mergeCell ref="H25:H31"/>
    <mergeCell ref="AH25:AI25"/>
    <mergeCell ref="AF23:AG23"/>
    <mergeCell ref="J27:L27"/>
    <mergeCell ref="C29:E29"/>
    <mergeCell ref="J29:L29"/>
    <mergeCell ref="A16:E16"/>
    <mergeCell ref="H16:L16"/>
    <mergeCell ref="O16:S16"/>
    <mergeCell ref="X25:Z25"/>
    <mergeCell ref="AA25:AB25"/>
    <mergeCell ref="AE27:AG27"/>
    <mergeCell ref="C28:E28"/>
    <mergeCell ref="Q27:S27"/>
    <mergeCell ref="X27:Z27"/>
    <mergeCell ref="Q29:S29"/>
    <mergeCell ref="X29:Z29"/>
    <mergeCell ref="AC25:AC31"/>
    <mergeCell ref="AE25:AG25"/>
    <mergeCell ref="X28:Z28"/>
    <mergeCell ref="AE28:AG28"/>
    <mergeCell ref="J25:L25"/>
    <mergeCell ref="M25:N25"/>
    <mergeCell ref="J26:L26"/>
    <mergeCell ref="Q26:S26"/>
    <mergeCell ref="X26:Z26"/>
    <mergeCell ref="AE26:AG26"/>
    <mergeCell ref="F25:G25"/>
    <mergeCell ref="C27:E27"/>
    <mergeCell ref="AE29:AG29"/>
    <mergeCell ref="C30:E30"/>
    <mergeCell ref="J30:L30"/>
    <mergeCell ref="Q30:S30"/>
    <mergeCell ref="X30:Z30"/>
    <mergeCell ref="AE30:AG30"/>
    <mergeCell ref="J28:L28"/>
    <mergeCell ref="Q28:S28"/>
    <mergeCell ref="AP29:AP36"/>
    <mergeCell ref="A34:AH34"/>
    <mergeCell ref="C31:E31"/>
    <mergeCell ref="J31:L31"/>
    <mergeCell ref="Q31:S31"/>
    <mergeCell ref="X31:Z31"/>
    <mergeCell ref="AE31:AG31"/>
    <mergeCell ref="A33:AH33"/>
    <mergeCell ref="A25:A31"/>
    <mergeCell ref="C25:E25"/>
    <mergeCell ref="AR8:AR17"/>
    <mergeCell ref="AR18:AV18"/>
    <mergeCell ref="AR27:AR33"/>
    <mergeCell ref="AT27:AV27"/>
    <mergeCell ref="AT28:AV28"/>
    <mergeCell ref="AT29:AV29"/>
    <mergeCell ref="AT30:AV30"/>
    <mergeCell ref="AT31:AV31"/>
    <mergeCell ref="AT32:AV32"/>
    <mergeCell ref="AT33:AV33"/>
  </mergeCells>
  <printOptions/>
  <pageMargins left="0.15748031496062992" right="0.1968503937007874" top="0.1968503937007874" bottom="0.1968503937007874" header="0.3937007874015748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61"/>
  <sheetViews>
    <sheetView view="pageBreakPreview" zoomScale="71" zoomScaleNormal="58" zoomScaleSheetLayoutView="71" zoomScalePageLayoutView="0" workbookViewId="0" topLeftCell="A1">
      <selection activeCell="AD23" sqref="AD23"/>
    </sheetView>
  </sheetViews>
  <sheetFormatPr defaultColWidth="6.125" defaultRowHeight="16.5"/>
  <cols>
    <col min="1" max="1" width="4.625" style="1" customWidth="1"/>
    <col min="2" max="2" width="15.00390625" style="2" customWidth="1"/>
    <col min="3" max="3" width="3.75390625" style="2" customWidth="1"/>
    <col min="4" max="5" width="5.25390625" style="2" customWidth="1"/>
    <col min="6" max="6" width="6.125" style="3" customWidth="1"/>
    <col min="7" max="7" width="6.125" style="4" customWidth="1"/>
    <col min="8" max="8" width="4.625" style="1" customWidth="1"/>
    <col min="9" max="9" width="14.625" style="2" customWidth="1"/>
    <col min="10" max="10" width="6.125" style="2" customWidth="1"/>
    <col min="11" max="12" width="5.25390625" style="2" customWidth="1"/>
    <col min="13" max="13" width="6.125" style="3" customWidth="1"/>
    <col min="14" max="14" width="6.125" style="4" customWidth="1"/>
    <col min="15" max="15" width="4.625" style="1" customWidth="1"/>
    <col min="16" max="16" width="15.00390625" style="2" customWidth="1"/>
    <col min="17" max="17" width="6.125" style="2" customWidth="1"/>
    <col min="18" max="18" width="4.50390625" style="2" customWidth="1"/>
    <col min="19" max="19" width="5.25390625" style="2" customWidth="1"/>
    <col min="20" max="20" width="6.125" style="3" customWidth="1"/>
    <col min="21" max="21" width="6.125" style="4" customWidth="1"/>
    <col min="22" max="22" width="4.625" style="5" customWidth="1"/>
    <col min="23" max="23" width="17.375" style="2" customWidth="1"/>
    <col min="24" max="24" width="5.50390625" style="2" customWidth="1"/>
    <col min="25" max="26" width="5.25390625" style="2" customWidth="1"/>
    <col min="27" max="27" width="6.125" style="3" customWidth="1"/>
    <col min="28" max="28" width="6.125" style="4" customWidth="1"/>
    <col min="29" max="29" width="4.625" style="1" customWidth="1"/>
    <col min="30" max="30" width="17.125" style="2" customWidth="1"/>
    <col min="31" max="31" width="6.125" style="2" customWidth="1"/>
    <col min="32" max="32" width="5.375" style="2" customWidth="1"/>
    <col min="33" max="33" width="4.75390625" style="2" customWidth="1"/>
    <col min="34" max="34" width="6.125" style="6" customWidth="1"/>
    <col min="35" max="35" width="6.125" style="4" customWidth="1"/>
    <col min="36" max="36" width="7.875" style="7" bestFit="1" customWidth="1"/>
    <col min="37" max="45" width="6.125" style="7" customWidth="1"/>
    <col min="46" max="47" width="6.25390625" style="7" bestFit="1" customWidth="1"/>
    <col min="48" max="16384" width="6.125" style="7" customWidth="1"/>
  </cols>
  <sheetData>
    <row r="1" spans="1:249" s="14" customFormat="1" ht="30" customHeight="1">
      <c r="A1" s="409" t="str">
        <f>'第四周'!A1</f>
        <v>僑愛國民小學附幼111學年度下學期第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52"/>
      <c r="N1" s="53"/>
      <c r="O1" s="65">
        <f>'第四周'!O1+1</f>
        <v>20</v>
      </c>
      <c r="P1" s="360" t="str">
        <f>'第四周'!P1</f>
        <v>週點心食譜設計表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53">
        <v>72</v>
      </c>
      <c r="AF1" s="53">
        <v>72</v>
      </c>
      <c r="AG1" s="53"/>
      <c r="AH1" s="53"/>
      <c r="AI1" s="53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</row>
    <row r="2" spans="1:249" s="15" customFormat="1" ht="18.75" customHeight="1">
      <c r="A2" s="449" t="s">
        <v>46</v>
      </c>
      <c r="B2" s="368">
        <f>'第四周'!B2+7</f>
        <v>45103</v>
      </c>
      <c r="C2" s="368"/>
      <c r="D2" s="368"/>
      <c r="E2" s="368"/>
      <c r="F2" s="55"/>
      <c r="G2" s="56"/>
      <c r="H2" s="451" t="s">
        <v>46</v>
      </c>
      <c r="I2" s="369">
        <f>B2+1</f>
        <v>45104</v>
      </c>
      <c r="J2" s="369"/>
      <c r="K2" s="369"/>
      <c r="L2" s="369"/>
      <c r="M2" s="57"/>
      <c r="N2" s="58"/>
      <c r="O2" s="451" t="s">
        <v>46</v>
      </c>
      <c r="P2" s="381">
        <f>I2+1</f>
        <v>45105</v>
      </c>
      <c r="Q2" s="381"/>
      <c r="R2" s="381"/>
      <c r="S2" s="381"/>
      <c r="T2" s="59"/>
      <c r="U2" s="60"/>
      <c r="V2" s="451" t="s">
        <v>46</v>
      </c>
      <c r="W2" s="376">
        <f>P2+1</f>
        <v>45106</v>
      </c>
      <c r="X2" s="376"/>
      <c r="Y2" s="376"/>
      <c r="Z2" s="376"/>
      <c r="AA2" s="61"/>
      <c r="AB2" s="62"/>
      <c r="AC2" s="449" t="s">
        <v>46</v>
      </c>
      <c r="AD2" s="384">
        <f>W2+1</f>
        <v>45107</v>
      </c>
      <c r="AE2" s="384"/>
      <c r="AF2" s="384"/>
      <c r="AG2" s="385"/>
      <c r="AH2" s="63"/>
      <c r="AI2" s="64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spans="1:249" s="15" customFormat="1" ht="18.75" customHeight="1">
      <c r="A3" s="450"/>
      <c r="B3" s="16" t="s">
        <v>1</v>
      </c>
      <c r="C3" s="16" t="s">
        <v>25</v>
      </c>
      <c r="D3" s="51" t="s">
        <v>2</v>
      </c>
      <c r="E3" s="51" t="s">
        <v>3</v>
      </c>
      <c r="F3" s="66" t="s">
        <v>4</v>
      </c>
      <c r="G3" s="67" t="s">
        <v>5</v>
      </c>
      <c r="H3" s="452"/>
      <c r="I3" s="67" t="s">
        <v>1</v>
      </c>
      <c r="J3" s="67" t="s">
        <v>25</v>
      </c>
      <c r="K3" s="68" t="s">
        <v>2</v>
      </c>
      <c r="L3" s="68" t="s">
        <v>3</v>
      </c>
      <c r="M3" s="66" t="s">
        <v>4</v>
      </c>
      <c r="N3" s="69" t="s">
        <v>5</v>
      </c>
      <c r="O3" s="452"/>
      <c r="P3" s="67" t="s">
        <v>1</v>
      </c>
      <c r="Q3" s="67" t="s">
        <v>25</v>
      </c>
      <c r="R3" s="68" t="s">
        <v>2</v>
      </c>
      <c r="S3" s="68" t="s">
        <v>3</v>
      </c>
      <c r="T3" s="66" t="s">
        <v>4</v>
      </c>
      <c r="U3" s="69" t="s">
        <v>5</v>
      </c>
      <c r="V3" s="452"/>
      <c r="W3" s="67" t="s">
        <v>1</v>
      </c>
      <c r="X3" s="67" t="s">
        <v>25</v>
      </c>
      <c r="Y3" s="68" t="s">
        <v>2</v>
      </c>
      <c r="Z3" s="68" t="s">
        <v>3</v>
      </c>
      <c r="AA3" s="66" t="s">
        <v>4</v>
      </c>
      <c r="AB3" s="69" t="s">
        <v>5</v>
      </c>
      <c r="AC3" s="450"/>
      <c r="AD3" s="67" t="s">
        <v>1</v>
      </c>
      <c r="AE3" s="67" t="s">
        <v>25</v>
      </c>
      <c r="AF3" s="68" t="s">
        <v>2</v>
      </c>
      <c r="AG3" s="70" t="s">
        <v>3</v>
      </c>
      <c r="AH3" s="71" t="s">
        <v>4</v>
      </c>
      <c r="AI3" s="72" t="s">
        <v>5</v>
      </c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</row>
    <row r="4" spans="1:35" s="12" customFormat="1" ht="18.75" customHeight="1" hidden="1">
      <c r="A4" s="450"/>
      <c r="B4" s="448" t="s">
        <v>47</v>
      </c>
      <c r="C4" s="448"/>
      <c r="D4" s="448"/>
      <c r="E4" s="448"/>
      <c r="F4" s="8"/>
      <c r="G4" s="9"/>
      <c r="H4" s="452"/>
      <c r="I4" s="448" t="s">
        <v>48</v>
      </c>
      <c r="J4" s="448"/>
      <c r="K4" s="448"/>
      <c r="L4" s="448"/>
      <c r="M4" s="8"/>
      <c r="N4" s="9"/>
      <c r="O4" s="452"/>
      <c r="P4" s="448" t="s">
        <v>49</v>
      </c>
      <c r="Q4" s="448"/>
      <c r="R4" s="448"/>
      <c r="S4" s="448"/>
      <c r="T4" s="10"/>
      <c r="U4" s="11"/>
      <c r="V4" s="452"/>
      <c r="W4" s="448" t="s">
        <v>50</v>
      </c>
      <c r="X4" s="448"/>
      <c r="Y4" s="448"/>
      <c r="Z4" s="448"/>
      <c r="AA4" s="8"/>
      <c r="AB4" s="13"/>
      <c r="AC4" s="450"/>
      <c r="AD4" s="453" t="s">
        <v>51</v>
      </c>
      <c r="AE4" s="453"/>
      <c r="AF4" s="453"/>
      <c r="AG4" s="454"/>
      <c r="AH4" s="8"/>
      <c r="AI4" s="9"/>
    </row>
    <row r="5" spans="1:35" s="19" customFormat="1" ht="18.75" customHeight="1">
      <c r="A5" s="382" t="s">
        <v>10</v>
      </c>
      <c r="B5" s="379"/>
      <c r="C5" s="379"/>
      <c r="D5" s="379"/>
      <c r="E5" s="379"/>
      <c r="F5" s="151"/>
      <c r="G5" s="152"/>
      <c r="H5" s="383" t="s">
        <v>10</v>
      </c>
      <c r="I5" s="379"/>
      <c r="J5" s="379"/>
      <c r="K5" s="379"/>
      <c r="L5" s="379"/>
      <c r="M5" s="151"/>
      <c r="N5" s="153"/>
      <c r="O5" s="378" t="s">
        <v>10</v>
      </c>
      <c r="P5" s="379"/>
      <c r="Q5" s="379"/>
      <c r="R5" s="379"/>
      <c r="S5" s="379"/>
      <c r="T5" s="151"/>
      <c r="U5" s="153"/>
      <c r="V5" s="378" t="s">
        <v>10</v>
      </c>
      <c r="W5" s="379"/>
      <c r="X5" s="379"/>
      <c r="Y5" s="379"/>
      <c r="Z5" s="379"/>
      <c r="AA5" s="151"/>
      <c r="AB5" s="153"/>
      <c r="AC5" s="378" t="s">
        <v>10</v>
      </c>
      <c r="AD5" s="379"/>
      <c r="AE5" s="379"/>
      <c r="AF5" s="379"/>
      <c r="AG5" s="380"/>
      <c r="AH5" s="17"/>
      <c r="AI5" s="18"/>
    </row>
    <row r="6" spans="1:50" s="78" customFormat="1" ht="18.75" customHeight="1">
      <c r="A6" s="351" t="s">
        <v>191</v>
      </c>
      <c r="B6" s="26" t="s">
        <v>193</v>
      </c>
      <c r="C6" s="26">
        <v>1</v>
      </c>
      <c r="D6" s="92">
        <f>ROUND($AE$1*C6,0)</f>
        <v>72</v>
      </c>
      <c r="E6" s="47" t="s">
        <v>22</v>
      </c>
      <c r="F6" s="276"/>
      <c r="G6" s="37">
        <f>D6*F6</f>
        <v>0</v>
      </c>
      <c r="H6" s="351" t="s">
        <v>255</v>
      </c>
      <c r="I6" s="33" t="s">
        <v>216</v>
      </c>
      <c r="J6" s="33">
        <v>70</v>
      </c>
      <c r="K6" s="92">
        <f>ROUND($AE$1*J6/1000,1)</f>
        <v>5</v>
      </c>
      <c r="L6" s="92" t="s">
        <v>11</v>
      </c>
      <c r="M6" s="276"/>
      <c r="N6" s="37">
        <f>K6*M6</f>
        <v>0</v>
      </c>
      <c r="O6" s="351" t="s">
        <v>262</v>
      </c>
      <c r="P6" s="27" t="s">
        <v>69</v>
      </c>
      <c r="Q6" s="27">
        <v>40</v>
      </c>
      <c r="R6" s="82" t="s">
        <v>15</v>
      </c>
      <c r="S6" s="83" t="s">
        <v>11</v>
      </c>
      <c r="T6" s="276"/>
      <c r="U6" s="25" t="e">
        <f>R6*T6</f>
        <v>#VALUE!</v>
      </c>
      <c r="V6" s="356" t="s">
        <v>161</v>
      </c>
      <c r="W6" s="206" t="s">
        <v>77</v>
      </c>
      <c r="X6" s="27">
        <v>0.8</v>
      </c>
      <c r="Y6" s="82">
        <f>ROUND($AE$1*X6/10,0)</f>
        <v>6</v>
      </c>
      <c r="Z6" s="47" t="s">
        <v>24</v>
      </c>
      <c r="AA6" s="276"/>
      <c r="AB6" s="25">
        <f>Y6*AA6</f>
        <v>0</v>
      </c>
      <c r="AC6" s="351" t="s">
        <v>256</v>
      </c>
      <c r="AD6" s="33" t="s">
        <v>216</v>
      </c>
      <c r="AE6" s="27">
        <v>69</v>
      </c>
      <c r="AF6" s="92">
        <f>ROUND($AE$1*AE6/1000,0)</f>
        <v>5</v>
      </c>
      <c r="AG6" s="47" t="s">
        <v>11</v>
      </c>
      <c r="AH6" s="276"/>
      <c r="AI6" s="76">
        <f>AF6*AH6</f>
        <v>0</v>
      </c>
      <c r="AM6" s="351" t="s">
        <v>256</v>
      </c>
      <c r="AN6" s="33" t="s">
        <v>216</v>
      </c>
      <c r="AO6" s="27">
        <v>69</v>
      </c>
      <c r="AP6" s="92">
        <f>ROUND($AE$1*AO6/1000,0)</f>
        <v>5</v>
      </c>
      <c r="AQ6" s="47" t="s">
        <v>11</v>
      </c>
      <c r="AR6" s="356" t="s">
        <v>161</v>
      </c>
      <c r="AS6" s="206" t="s">
        <v>77</v>
      </c>
      <c r="AT6" s="27">
        <v>0.8</v>
      </c>
      <c r="AU6" s="82">
        <v>5</v>
      </c>
      <c r="AV6" s="47" t="s">
        <v>24</v>
      </c>
      <c r="AW6" s="276"/>
      <c r="AX6" s="37">
        <f>AU6*AW6</f>
        <v>0</v>
      </c>
    </row>
    <row r="7" spans="1:50" s="78" customFormat="1" ht="18.75" customHeight="1">
      <c r="A7" s="352"/>
      <c r="B7" s="26" t="s">
        <v>192</v>
      </c>
      <c r="C7" s="27"/>
      <c r="D7" s="25"/>
      <c r="E7" s="238"/>
      <c r="F7" s="276"/>
      <c r="G7" s="37"/>
      <c r="H7" s="352"/>
      <c r="I7" s="33" t="s">
        <v>162</v>
      </c>
      <c r="J7" s="33">
        <v>20</v>
      </c>
      <c r="K7" s="92">
        <f>ROUND($AE$1*J7/1000,0)</f>
        <v>1</v>
      </c>
      <c r="L7" s="92" t="s">
        <v>163</v>
      </c>
      <c r="M7" s="276"/>
      <c r="N7" s="37"/>
      <c r="O7" s="352"/>
      <c r="P7" s="32" t="s">
        <v>261</v>
      </c>
      <c r="Q7" s="27">
        <v>17</v>
      </c>
      <c r="R7" s="82">
        <f>ROUND($AF$1*Q7/1000,1)</f>
        <v>1.2</v>
      </c>
      <c r="S7" s="47" t="s">
        <v>11</v>
      </c>
      <c r="T7" s="276"/>
      <c r="U7" s="25">
        <f>R7*T7</f>
        <v>0</v>
      </c>
      <c r="V7" s="357"/>
      <c r="W7" s="207" t="s">
        <v>164</v>
      </c>
      <c r="X7" s="25">
        <v>0.8</v>
      </c>
      <c r="Y7" s="82">
        <f>ROUND($AE$1*X7/7,0)</f>
        <v>8</v>
      </c>
      <c r="Z7" s="47" t="s">
        <v>14</v>
      </c>
      <c r="AA7" s="276"/>
      <c r="AB7" s="25">
        <f aca="true" t="shared" si="0" ref="AB7:AB15">Y7*AA7</f>
        <v>0</v>
      </c>
      <c r="AC7" s="352"/>
      <c r="AD7" s="27" t="s">
        <v>257</v>
      </c>
      <c r="AE7" s="27">
        <v>10</v>
      </c>
      <c r="AF7" s="92">
        <v>3</v>
      </c>
      <c r="AG7" s="47" t="s">
        <v>11</v>
      </c>
      <c r="AH7" s="276"/>
      <c r="AI7" s="76">
        <f aca="true" t="shared" si="1" ref="AI7:AI15">AF7*AH7</f>
        <v>0</v>
      </c>
      <c r="AM7" s="352"/>
      <c r="AN7" s="27" t="s">
        <v>257</v>
      </c>
      <c r="AO7" s="27">
        <v>10</v>
      </c>
      <c r="AP7" s="92">
        <v>3</v>
      </c>
      <c r="AQ7" s="47" t="s">
        <v>11</v>
      </c>
      <c r="AR7" s="357"/>
      <c r="AS7" s="207" t="s">
        <v>164</v>
      </c>
      <c r="AT7" s="25">
        <v>0.8</v>
      </c>
      <c r="AU7" s="82">
        <f>ROUND($AE$1*AT7/7,0)</f>
        <v>8</v>
      </c>
      <c r="AV7" s="47" t="s">
        <v>14</v>
      </c>
      <c r="AW7" s="276"/>
      <c r="AX7" s="37"/>
    </row>
    <row r="8" spans="1:50" s="78" customFormat="1" ht="18.75" customHeight="1">
      <c r="A8" s="352"/>
      <c r="B8" s="27" t="s">
        <v>194</v>
      </c>
      <c r="C8" s="27">
        <v>40</v>
      </c>
      <c r="D8" s="92">
        <f>ROUND($AE$1*C8/1000,0)</f>
        <v>3</v>
      </c>
      <c r="E8" s="25" t="s">
        <v>13</v>
      </c>
      <c r="F8" s="276"/>
      <c r="G8" s="37">
        <f>D8*F8</f>
        <v>0</v>
      </c>
      <c r="H8" s="352"/>
      <c r="I8" s="33" t="s">
        <v>165</v>
      </c>
      <c r="J8" s="33">
        <v>12.5</v>
      </c>
      <c r="K8" s="92">
        <f>ROUND($AE$1*J8/300,1)</f>
        <v>3</v>
      </c>
      <c r="L8" s="92" t="s">
        <v>14</v>
      </c>
      <c r="M8" s="276"/>
      <c r="N8" s="37">
        <f>K8*M8</f>
        <v>0</v>
      </c>
      <c r="O8" s="352"/>
      <c r="P8" s="27" t="s">
        <v>78</v>
      </c>
      <c r="Q8" s="27">
        <v>30</v>
      </c>
      <c r="R8" s="82">
        <f>ROUND($AF$1*Q8/1000,1)</f>
        <v>2.2</v>
      </c>
      <c r="S8" s="47" t="s">
        <v>11</v>
      </c>
      <c r="T8" s="276"/>
      <c r="U8" s="25">
        <f aca="true" t="shared" si="2" ref="U8:U13">R8*T8</f>
        <v>0</v>
      </c>
      <c r="V8" s="357"/>
      <c r="W8" s="208" t="s">
        <v>166</v>
      </c>
      <c r="X8" s="50">
        <v>10</v>
      </c>
      <c r="Y8" s="82">
        <f>ROUND($AE$1*X8/1000,1)</f>
        <v>0.7</v>
      </c>
      <c r="Z8" s="89" t="s">
        <v>11</v>
      </c>
      <c r="AA8" s="276"/>
      <c r="AB8" s="25">
        <f t="shared" si="0"/>
        <v>0</v>
      </c>
      <c r="AC8" s="352"/>
      <c r="AD8" s="27" t="s">
        <v>29</v>
      </c>
      <c r="AE8" s="27">
        <v>15</v>
      </c>
      <c r="AF8" s="92">
        <f>ROUND($AE$1*AE8/1000,1)</f>
        <v>1.1</v>
      </c>
      <c r="AG8" s="47" t="s">
        <v>11</v>
      </c>
      <c r="AH8" s="276"/>
      <c r="AI8" s="76">
        <f t="shared" si="1"/>
        <v>0</v>
      </c>
      <c r="AM8" s="352"/>
      <c r="AN8" s="27" t="s">
        <v>29</v>
      </c>
      <c r="AO8" s="27">
        <v>15</v>
      </c>
      <c r="AP8" s="92">
        <f>ROUND($AE$1*AO8/1000,1)</f>
        <v>1.1</v>
      </c>
      <c r="AQ8" s="47" t="s">
        <v>11</v>
      </c>
      <c r="AR8" s="357"/>
      <c r="AS8" s="208" t="s">
        <v>166</v>
      </c>
      <c r="AT8" s="50">
        <v>10</v>
      </c>
      <c r="AU8" s="82">
        <f>ROUND($AE$1*AT8/1000,1)</f>
        <v>0.7</v>
      </c>
      <c r="AV8" s="89" t="s">
        <v>11</v>
      </c>
      <c r="AW8" s="276"/>
      <c r="AX8" s="37">
        <f>AU8*AW8</f>
        <v>0</v>
      </c>
    </row>
    <row r="9" spans="1:50" s="78" customFormat="1" ht="18.75" customHeight="1">
      <c r="A9" s="352"/>
      <c r="B9" s="104" t="s">
        <v>102</v>
      </c>
      <c r="C9" s="27">
        <v>90</v>
      </c>
      <c r="D9" s="92">
        <f>ROUND($AE$1*C9/1000,0)</f>
        <v>6</v>
      </c>
      <c r="E9" s="25" t="s">
        <v>13</v>
      </c>
      <c r="F9" s="276"/>
      <c r="G9" s="37">
        <f aca="true" t="shared" si="3" ref="G9:G16">D9*F9</f>
        <v>0</v>
      </c>
      <c r="H9" s="352"/>
      <c r="I9" s="33" t="s">
        <v>54</v>
      </c>
      <c r="J9" s="33">
        <v>30</v>
      </c>
      <c r="K9" s="92">
        <f>ROUND($AE$1*J9/1000,1)</f>
        <v>2.2</v>
      </c>
      <c r="L9" s="92" t="s">
        <v>11</v>
      </c>
      <c r="M9" s="276"/>
      <c r="N9" s="37">
        <f>K9*M9</f>
        <v>0</v>
      </c>
      <c r="O9" s="352"/>
      <c r="P9" s="27" t="s">
        <v>19</v>
      </c>
      <c r="Q9" s="27">
        <v>6</v>
      </c>
      <c r="R9" s="82">
        <f>ROUND($AF$1*Q9/1000,1)</f>
        <v>0.4</v>
      </c>
      <c r="S9" s="47" t="s">
        <v>11</v>
      </c>
      <c r="T9" s="276"/>
      <c r="U9" s="25">
        <f t="shared" si="2"/>
        <v>0</v>
      </c>
      <c r="V9" s="357"/>
      <c r="W9" s="209" t="s">
        <v>29</v>
      </c>
      <c r="X9" s="50">
        <v>16</v>
      </c>
      <c r="Y9" s="82">
        <f>ROUND($AE$1*X9/1000,1)</f>
        <v>1.2</v>
      </c>
      <c r="Z9" s="89" t="s">
        <v>11</v>
      </c>
      <c r="AA9" s="276"/>
      <c r="AB9" s="25">
        <f t="shared" si="0"/>
        <v>0</v>
      </c>
      <c r="AC9" s="352"/>
      <c r="AD9" s="27" t="s">
        <v>19</v>
      </c>
      <c r="AE9" s="27">
        <v>8</v>
      </c>
      <c r="AF9" s="92">
        <f>ROUND($AE$1*AE9/1000,1)</f>
        <v>0.6</v>
      </c>
      <c r="AG9" s="47" t="s">
        <v>11</v>
      </c>
      <c r="AH9" s="276"/>
      <c r="AI9" s="76">
        <f t="shared" si="1"/>
        <v>0</v>
      </c>
      <c r="AM9" s="352"/>
      <c r="AN9" s="27" t="s">
        <v>19</v>
      </c>
      <c r="AO9" s="27">
        <v>8</v>
      </c>
      <c r="AP9" s="92">
        <f>ROUND($AE$1*AO9/1000,1)</f>
        <v>0.6</v>
      </c>
      <c r="AQ9" s="47" t="s">
        <v>11</v>
      </c>
      <c r="AR9" s="357"/>
      <c r="AS9" s="209" t="s">
        <v>29</v>
      </c>
      <c r="AT9" s="50">
        <v>16</v>
      </c>
      <c r="AU9" s="82">
        <f>ROUND($AE$1*AT9/1000,1)</f>
        <v>1.2</v>
      </c>
      <c r="AV9" s="89" t="s">
        <v>11</v>
      </c>
      <c r="AW9" s="276"/>
      <c r="AX9" s="37">
        <f>AU9*AW9</f>
        <v>0</v>
      </c>
    </row>
    <row r="10" spans="1:50" s="78" customFormat="1" ht="18.75" customHeight="1">
      <c r="A10" s="352"/>
      <c r="B10" s="33"/>
      <c r="C10" s="33"/>
      <c r="D10" s="25"/>
      <c r="E10" s="29"/>
      <c r="F10" s="276"/>
      <c r="G10" s="37">
        <f t="shared" si="3"/>
        <v>0</v>
      </c>
      <c r="H10" s="352"/>
      <c r="I10" s="33" t="s">
        <v>44</v>
      </c>
      <c r="J10" s="33">
        <v>2</v>
      </c>
      <c r="K10" s="92">
        <f>ROUND($AE$1*J10/1000,1)</f>
        <v>0.1</v>
      </c>
      <c r="L10" s="92" t="s">
        <v>11</v>
      </c>
      <c r="M10" s="276"/>
      <c r="N10" s="37">
        <f>K10*M10</f>
        <v>0</v>
      </c>
      <c r="O10" s="352"/>
      <c r="P10" s="93" t="s">
        <v>83</v>
      </c>
      <c r="Q10" s="27">
        <v>3</v>
      </c>
      <c r="R10" s="82">
        <f>ROUND($AF$1*Q10/1000,1)</f>
        <v>0.2</v>
      </c>
      <c r="S10" s="47" t="s">
        <v>11</v>
      </c>
      <c r="T10" s="276"/>
      <c r="U10" s="25">
        <f t="shared" si="2"/>
        <v>0</v>
      </c>
      <c r="V10" s="357"/>
      <c r="W10" s="209" t="s">
        <v>19</v>
      </c>
      <c r="X10" s="50">
        <v>10</v>
      </c>
      <c r="Y10" s="82">
        <f>ROUND($AE$1*X10/1000,1)</f>
        <v>0.7</v>
      </c>
      <c r="Z10" s="89" t="s">
        <v>11</v>
      </c>
      <c r="AA10" s="276"/>
      <c r="AB10" s="25">
        <f t="shared" si="0"/>
        <v>0</v>
      </c>
      <c r="AC10" s="352"/>
      <c r="AD10" s="27" t="s">
        <v>33</v>
      </c>
      <c r="AE10" s="27">
        <v>6</v>
      </c>
      <c r="AF10" s="92">
        <f>ROUND($AE$1*AE10/1000,1)</f>
        <v>0.4</v>
      </c>
      <c r="AG10" s="47" t="s">
        <v>11</v>
      </c>
      <c r="AH10" s="276"/>
      <c r="AI10" s="76">
        <f t="shared" si="1"/>
        <v>0</v>
      </c>
      <c r="AM10" s="352"/>
      <c r="AN10" s="27" t="s">
        <v>33</v>
      </c>
      <c r="AO10" s="27">
        <v>6</v>
      </c>
      <c r="AP10" s="92">
        <f>ROUND($AE$1*AO10/1000,1)</f>
        <v>0.4</v>
      </c>
      <c r="AQ10" s="47" t="s">
        <v>11</v>
      </c>
      <c r="AR10" s="357"/>
      <c r="AS10" s="209" t="s">
        <v>19</v>
      </c>
      <c r="AT10" s="50">
        <v>10</v>
      </c>
      <c r="AU10" s="82">
        <f>ROUND($AE$1*AT10/1000,1)</f>
        <v>0.7</v>
      </c>
      <c r="AV10" s="89" t="s">
        <v>11</v>
      </c>
      <c r="AW10" s="276"/>
      <c r="AX10" s="37">
        <f>AU10*AW10</f>
        <v>0</v>
      </c>
    </row>
    <row r="11" spans="1:50" s="78" customFormat="1" ht="18.75" customHeight="1">
      <c r="A11" s="352"/>
      <c r="B11" s="33"/>
      <c r="C11" s="33"/>
      <c r="D11" s="25"/>
      <c r="E11" s="29"/>
      <c r="F11" s="276"/>
      <c r="G11" s="37">
        <f t="shared" si="3"/>
        <v>0</v>
      </c>
      <c r="H11" s="352"/>
      <c r="I11" s="33" t="s">
        <v>19</v>
      </c>
      <c r="J11" s="33">
        <v>8</v>
      </c>
      <c r="K11" s="92">
        <f>ROUND($AE$1*J11/1000,1)</f>
        <v>0.6</v>
      </c>
      <c r="L11" s="92" t="s">
        <v>11</v>
      </c>
      <c r="M11" s="276"/>
      <c r="N11" s="37">
        <f>K11*M11</f>
        <v>0</v>
      </c>
      <c r="O11" s="352"/>
      <c r="P11" s="27" t="s">
        <v>85</v>
      </c>
      <c r="Q11" s="27">
        <v>2.5</v>
      </c>
      <c r="R11" s="82" t="s">
        <v>15</v>
      </c>
      <c r="S11" s="47" t="s">
        <v>11</v>
      </c>
      <c r="T11" s="276"/>
      <c r="U11" s="25" t="e">
        <f t="shared" si="2"/>
        <v>#VALUE!</v>
      </c>
      <c r="V11" s="357"/>
      <c r="W11" s="208"/>
      <c r="X11" s="50"/>
      <c r="Y11" s="82"/>
      <c r="Z11" s="89"/>
      <c r="AA11" s="276"/>
      <c r="AB11" s="25">
        <f t="shared" si="0"/>
        <v>0</v>
      </c>
      <c r="AC11" s="352"/>
      <c r="AD11" s="27" t="s">
        <v>21</v>
      </c>
      <c r="AE11" s="27">
        <v>30</v>
      </c>
      <c r="AF11" s="92">
        <f>ROUND($AE$1*AE11/1000,1)</f>
        <v>2.2</v>
      </c>
      <c r="AG11" s="47" t="s">
        <v>11</v>
      </c>
      <c r="AH11" s="276"/>
      <c r="AI11" s="76">
        <f t="shared" si="1"/>
        <v>0</v>
      </c>
      <c r="AM11" s="352"/>
      <c r="AN11" s="27" t="s">
        <v>21</v>
      </c>
      <c r="AO11" s="27">
        <v>30</v>
      </c>
      <c r="AP11" s="92">
        <f>ROUND($AE$1*AO11/1000,1)</f>
        <v>2.2</v>
      </c>
      <c r="AQ11" s="47" t="s">
        <v>11</v>
      </c>
      <c r="AR11" s="357"/>
      <c r="AS11" s="208"/>
      <c r="AT11" s="50"/>
      <c r="AU11" s="82"/>
      <c r="AV11" s="89"/>
      <c r="AW11" s="276"/>
      <c r="AX11" s="37">
        <f>AU11*AW11</f>
        <v>0</v>
      </c>
    </row>
    <row r="12" spans="1:50" s="65" customFormat="1" ht="18.75" customHeight="1">
      <c r="A12" s="352"/>
      <c r="B12" s="33"/>
      <c r="C12" s="33"/>
      <c r="D12" s="25"/>
      <c r="E12" s="29"/>
      <c r="F12" s="276"/>
      <c r="G12" s="37"/>
      <c r="H12" s="352"/>
      <c r="I12" s="33" t="s">
        <v>218</v>
      </c>
      <c r="J12" s="33">
        <v>4</v>
      </c>
      <c r="K12" s="92">
        <f>ROUND($AE$1*J12/1000,1)</f>
        <v>0.3</v>
      </c>
      <c r="L12" s="92" t="s">
        <v>11</v>
      </c>
      <c r="M12" s="276"/>
      <c r="N12" s="37"/>
      <c r="O12" s="352"/>
      <c r="P12" s="27" t="s">
        <v>88</v>
      </c>
      <c r="Q12" s="27">
        <v>6</v>
      </c>
      <c r="R12" s="82">
        <f>ROUND($AF$1*Q12/1000,1)</f>
        <v>0.4</v>
      </c>
      <c r="S12" s="47" t="s">
        <v>11</v>
      </c>
      <c r="T12" s="276"/>
      <c r="U12" s="25"/>
      <c r="V12" s="357"/>
      <c r="W12" s="208"/>
      <c r="X12" s="50"/>
      <c r="Y12" s="82"/>
      <c r="Z12" s="89"/>
      <c r="AA12" s="276"/>
      <c r="AB12" s="25">
        <f t="shared" si="0"/>
        <v>0</v>
      </c>
      <c r="AC12" s="352"/>
      <c r="AD12" s="27" t="s">
        <v>28</v>
      </c>
      <c r="AE12" s="27">
        <v>0.5</v>
      </c>
      <c r="AF12" s="92" t="s">
        <v>15</v>
      </c>
      <c r="AG12" s="47" t="s">
        <v>11</v>
      </c>
      <c r="AH12" s="276"/>
      <c r="AI12" s="76" t="e">
        <f t="shared" si="1"/>
        <v>#VALUE!</v>
      </c>
      <c r="AM12" s="352"/>
      <c r="AN12" s="27" t="s">
        <v>28</v>
      </c>
      <c r="AO12" s="27">
        <v>0.5</v>
      </c>
      <c r="AP12" s="92" t="s">
        <v>15</v>
      </c>
      <c r="AQ12" s="47" t="s">
        <v>11</v>
      </c>
      <c r="AR12" s="357"/>
      <c r="AS12" s="208"/>
      <c r="AT12" s="50"/>
      <c r="AU12" s="82"/>
      <c r="AV12" s="89"/>
      <c r="AW12" s="276"/>
      <c r="AX12" s="37"/>
    </row>
    <row r="13" spans="1:50" s="78" customFormat="1" ht="18.75" customHeight="1">
      <c r="A13" s="352"/>
      <c r="B13" s="33"/>
      <c r="C13" s="33"/>
      <c r="D13" s="25"/>
      <c r="E13" s="29"/>
      <c r="F13" s="276"/>
      <c r="G13" s="37">
        <f t="shared" si="3"/>
        <v>0</v>
      </c>
      <c r="H13" s="352"/>
      <c r="I13" s="33" t="s">
        <v>61</v>
      </c>
      <c r="J13" s="33">
        <v>20</v>
      </c>
      <c r="K13" s="241" t="s">
        <v>15</v>
      </c>
      <c r="L13" s="92" t="s">
        <v>11</v>
      </c>
      <c r="M13" s="276"/>
      <c r="N13" s="37" t="e">
        <f>K13*M13</f>
        <v>#VALUE!</v>
      </c>
      <c r="O13" s="352"/>
      <c r="P13" s="27" t="s">
        <v>90</v>
      </c>
      <c r="Q13" s="27">
        <v>0.5</v>
      </c>
      <c r="R13" s="82" t="s">
        <v>15</v>
      </c>
      <c r="S13" s="47" t="s">
        <v>11</v>
      </c>
      <c r="T13" s="276"/>
      <c r="U13" s="25" t="e">
        <f t="shared" si="2"/>
        <v>#VALUE!</v>
      </c>
      <c r="V13" s="357"/>
      <c r="W13" s="210"/>
      <c r="X13" s="50"/>
      <c r="Y13" s="82"/>
      <c r="Z13" s="89"/>
      <c r="AA13" s="276"/>
      <c r="AB13" s="25">
        <f t="shared" si="0"/>
        <v>0</v>
      </c>
      <c r="AC13" s="352"/>
      <c r="AD13" s="27" t="s">
        <v>258</v>
      </c>
      <c r="AE13" s="27">
        <v>15</v>
      </c>
      <c r="AF13" s="92">
        <f>ROUND($AE$1*AE13/1000,0)</f>
        <v>1</v>
      </c>
      <c r="AG13" s="47" t="s">
        <v>24</v>
      </c>
      <c r="AH13" s="276"/>
      <c r="AI13" s="76">
        <f t="shared" si="1"/>
        <v>0</v>
      </c>
      <c r="AM13" s="352"/>
      <c r="AN13" s="27" t="s">
        <v>258</v>
      </c>
      <c r="AO13" s="27">
        <v>15</v>
      </c>
      <c r="AP13" s="92">
        <f>ROUND($AE$1*AO13/1000,0)</f>
        <v>1</v>
      </c>
      <c r="AQ13" s="47" t="s">
        <v>24</v>
      </c>
      <c r="AR13" s="357"/>
      <c r="AS13" s="210"/>
      <c r="AT13" s="50"/>
      <c r="AU13" s="82"/>
      <c r="AV13" s="89"/>
      <c r="AW13" s="276"/>
      <c r="AX13" s="37">
        <f>AU13*AW13</f>
        <v>0</v>
      </c>
    </row>
    <row r="14" spans="1:50" s="78" customFormat="1" ht="18.75" customHeight="1">
      <c r="A14" s="352"/>
      <c r="B14" s="33"/>
      <c r="C14" s="33"/>
      <c r="D14" s="25"/>
      <c r="E14" s="29"/>
      <c r="F14" s="276"/>
      <c r="G14" s="37">
        <f t="shared" si="3"/>
        <v>0</v>
      </c>
      <c r="H14" s="352"/>
      <c r="I14" s="33"/>
      <c r="J14" s="33"/>
      <c r="K14" s="241"/>
      <c r="L14" s="92"/>
      <c r="M14" s="276"/>
      <c r="N14" s="37">
        <f>K14*M14</f>
        <v>0</v>
      </c>
      <c r="O14" s="352"/>
      <c r="P14" s="490"/>
      <c r="Q14" s="491"/>
      <c r="R14" s="491"/>
      <c r="S14" s="491"/>
      <c r="T14" s="276"/>
      <c r="U14" s="25"/>
      <c r="V14" s="357"/>
      <c r="W14" s="473" t="s">
        <v>168</v>
      </c>
      <c r="X14" s="474"/>
      <c r="Y14" s="474"/>
      <c r="Z14" s="475"/>
      <c r="AA14" s="276"/>
      <c r="AB14" s="25">
        <f t="shared" si="0"/>
        <v>0</v>
      </c>
      <c r="AC14" s="352"/>
      <c r="AD14" s="33" t="s">
        <v>52</v>
      </c>
      <c r="AE14" s="33">
        <v>8</v>
      </c>
      <c r="AF14" s="92">
        <f>ROUND($AE$1*AE14/1000,1)</f>
        <v>0.6</v>
      </c>
      <c r="AG14" s="47" t="s">
        <v>11</v>
      </c>
      <c r="AH14" s="276"/>
      <c r="AI14" s="76">
        <f t="shared" si="1"/>
        <v>0</v>
      </c>
      <c r="AM14" s="352"/>
      <c r="AN14" s="33" t="s">
        <v>52</v>
      </c>
      <c r="AO14" s="33">
        <v>8</v>
      </c>
      <c r="AP14" s="92">
        <f>ROUND($AE$1*AO14/1000,1)</f>
        <v>0.6</v>
      </c>
      <c r="AQ14" s="47" t="s">
        <v>11</v>
      </c>
      <c r="AR14" s="357"/>
      <c r="AS14" s="473" t="s">
        <v>168</v>
      </c>
      <c r="AT14" s="474"/>
      <c r="AU14" s="474"/>
      <c r="AV14" s="475"/>
      <c r="AW14" s="276"/>
      <c r="AX14" s="37">
        <f>AU14*AW14</f>
        <v>0</v>
      </c>
    </row>
    <row r="15" spans="1:50" s="78" customFormat="1" ht="18.75" customHeight="1">
      <c r="A15" s="352"/>
      <c r="B15" s="33"/>
      <c r="C15" s="33"/>
      <c r="D15" s="25"/>
      <c r="E15" s="29"/>
      <c r="F15" s="276"/>
      <c r="G15" s="37">
        <f t="shared" si="3"/>
        <v>0</v>
      </c>
      <c r="H15" s="352"/>
      <c r="I15" s="33"/>
      <c r="J15" s="33"/>
      <c r="K15" s="92"/>
      <c r="L15" s="92"/>
      <c r="M15" s="276"/>
      <c r="N15" s="37">
        <f>K15*M15</f>
        <v>0</v>
      </c>
      <c r="O15" s="352"/>
      <c r="P15" s="303"/>
      <c r="Q15" s="304"/>
      <c r="R15" s="304"/>
      <c r="S15" s="304"/>
      <c r="T15" s="276"/>
      <c r="U15" s="25"/>
      <c r="V15" s="357"/>
      <c r="W15" s="25"/>
      <c r="X15" s="37"/>
      <c r="Y15" s="180"/>
      <c r="Z15" s="89"/>
      <c r="AA15" s="276"/>
      <c r="AB15" s="25">
        <f t="shared" si="0"/>
        <v>0</v>
      </c>
      <c r="AC15" s="352"/>
      <c r="AD15" s="33" t="s">
        <v>77</v>
      </c>
      <c r="AE15" s="33">
        <v>8</v>
      </c>
      <c r="AF15" s="92">
        <v>1</v>
      </c>
      <c r="AG15" s="47" t="s">
        <v>24</v>
      </c>
      <c r="AH15" s="276"/>
      <c r="AI15" s="76">
        <f t="shared" si="1"/>
        <v>0</v>
      </c>
      <c r="AM15" s="352"/>
      <c r="AN15" s="33" t="s">
        <v>77</v>
      </c>
      <c r="AO15" s="33">
        <v>8</v>
      </c>
      <c r="AP15" s="92">
        <v>1</v>
      </c>
      <c r="AQ15" s="47" t="s">
        <v>24</v>
      </c>
      <c r="AR15" s="357"/>
      <c r="AS15" s="25"/>
      <c r="AT15" s="37"/>
      <c r="AU15" s="180"/>
      <c r="AV15" s="89"/>
      <c r="AW15" s="276"/>
      <c r="AX15" s="37">
        <f>AU15*AW15</f>
        <v>0</v>
      </c>
    </row>
    <row r="16" spans="1:50" s="78" customFormat="1" ht="18.75" customHeight="1">
      <c r="A16" s="413"/>
      <c r="B16" s="27"/>
      <c r="C16" s="27"/>
      <c r="D16" s="25"/>
      <c r="E16" s="29"/>
      <c r="F16" s="276"/>
      <c r="G16" s="37">
        <f t="shared" si="3"/>
        <v>0</v>
      </c>
      <c r="H16" s="413"/>
      <c r="I16" s="27"/>
      <c r="J16" s="27"/>
      <c r="K16" s="92"/>
      <c r="L16" s="92"/>
      <c r="M16" s="276"/>
      <c r="N16" s="37">
        <f>K16*M16</f>
        <v>0</v>
      </c>
      <c r="O16" s="352"/>
      <c r="P16" s="34"/>
      <c r="Q16" s="27"/>
      <c r="R16" s="237"/>
      <c r="S16" s="237"/>
      <c r="T16" s="276"/>
      <c r="U16" s="25"/>
      <c r="V16" s="391"/>
      <c r="W16" s="208"/>
      <c r="X16" s="50"/>
      <c r="Y16" s="195"/>
      <c r="Z16" s="196"/>
      <c r="AA16" s="276"/>
      <c r="AB16" s="25"/>
      <c r="AC16" s="413"/>
      <c r="AD16" s="27"/>
      <c r="AE16" s="27"/>
      <c r="AF16" s="92"/>
      <c r="AG16" s="47"/>
      <c r="AH16" s="276"/>
      <c r="AI16" s="76"/>
      <c r="AM16" s="479" t="s">
        <v>12</v>
      </c>
      <c r="AN16" s="479"/>
      <c r="AO16" s="479"/>
      <c r="AP16" s="479"/>
      <c r="AQ16" s="479"/>
      <c r="AR16" s="391"/>
      <c r="AS16" s="208"/>
      <c r="AT16" s="50"/>
      <c r="AU16" s="195"/>
      <c r="AV16" s="196"/>
      <c r="AW16" s="276"/>
      <c r="AX16" s="37">
        <f>AU16*AW16</f>
        <v>0</v>
      </c>
    </row>
    <row r="17" spans="1:50" s="78" customFormat="1" ht="18.75" customHeight="1">
      <c r="A17" s="349" t="s">
        <v>12</v>
      </c>
      <c r="B17" s="349"/>
      <c r="C17" s="349"/>
      <c r="D17" s="349"/>
      <c r="E17" s="349"/>
      <c r="F17" s="277"/>
      <c r="G17" s="80"/>
      <c r="H17" s="349" t="s">
        <v>12</v>
      </c>
      <c r="I17" s="349"/>
      <c r="J17" s="349"/>
      <c r="K17" s="349"/>
      <c r="L17" s="349"/>
      <c r="M17" s="277"/>
      <c r="N17" s="80"/>
      <c r="O17" s="349" t="s">
        <v>12</v>
      </c>
      <c r="P17" s="349"/>
      <c r="Q17" s="349"/>
      <c r="R17" s="349"/>
      <c r="S17" s="350"/>
      <c r="T17" s="277"/>
      <c r="U17" s="81"/>
      <c r="V17" s="349" t="s">
        <v>12</v>
      </c>
      <c r="W17" s="349"/>
      <c r="X17" s="349"/>
      <c r="Y17" s="349"/>
      <c r="Z17" s="349"/>
      <c r="AA17" s="277"/>
      <c r="AB17" s="81"/>
      <c r="AC17" s="349" t="s">
        <v>12</v>
      </c>
      <c r="AD17" s="349"/>
      <c r="AE17" s="349"/>
      <c r="AF17" s="349"/>
      <c r="AG17" s="350"/>
      <c r="AH17" s="277"/>
      <c r="AI17" s="75"/>
      <c r="AM17" s="351" t="s">
        <v>145</v>
      </c>
      <c r="AN17" s="25" t="s">
        <v>98</v>
      </c>
      <c r="AO17" s="25">
        <v>60</v>
      </c>
      <c r="AP17" s="154">
        <f>ROUND($AE$1*AO17/1500,0)</f>
        <v>3</v>
      </c>
      <c r="AQ17" s="242" t="s">
        <v>22</v>
      </c>
      <c r="AR17" s="349" t="s">
        <v>12</v>
      </c>
      <c r="AS17" s="349"/>
      <c r="AT17" s="349"/>
      <c r="AU17" s="349"/>
      <c r="AV17" s="349"/>
      <c r="AW17" s="277"/>
      <c r="AX17" s="80"/>
    </row>
    <row r="18" spans="1:50" s="78" customFormat="1" ht="18.75" customHeight="1">
      <c r="A18" s="480" t="s">
        <v>62</v>
      </c>
      <c r="B18" s="27" t="s">
        <v>31</v>
      </c>
      <c r="C18" s="31">
        <v>12</v>
      </c>
      <c r="D18" s="82">
        <f>ROUND($AF$1*C18/300,0)</f>
        <v>3</v>
      </c>
      <c r="E18" s="25" t="s">
        <v>16</v>
      </c>
      <c r="F18" s="276"/>
      <c r="G18" s="25">
        <f aca="true" t="shared" si="4" ref="G18:G25">D18*F18</f>
        <v>0</v>
      </c>
      <c r="H18" s="480" t="s">
        <v>169</v>
      </c>
      <c r="I18" s="28" t="s">
        <v>95</v>
      </c>
      <c r="J18" s="28">
        <v>1</v>
      </c>
      <c r="K18" s="92">
        <f>ROUND($AE$1*J18,0)</f>
        <v>72</v>
      </c>
      <c r="L18" s="47" t="s">
        <v>96</v>
      </c>
      <c r="M18" s="276"/>
      <c r="N18" s="25">
        <f aca="true" t="shared" si="5" ref="N18:N25">K18*M18</f>
        <v>0</v>
      </c>
      <c r="O18" s="351" t="s">
        <v>145</v>
      </c>
      <c r="P18" s="38" t="s">
        <v>20</v>
      </c>
      <c r="Q18" s="38">
        <v>31</v>
      </c>
      <c r="R18" s="154">
        <v>3</v>
      </c>
      <c r="S18" s="154" t="s">
        <v>11</v>
      </c>
      <c r="T18" s="276"/>
      <c r="U18" s="25">
        <f aca="true" t="shared" si="6" ref="U18:U24">R18*T18</f>
        <v>0</v>
      </c>
      <c r="V18" s="482" t="s">
        <v>187</v>
      </c>
      <c r="W18" s="225" t="s">
        <v>93</v>
      </c>
      <c r="X18" s="25">
        <v>10</v>
      </c>
      <c r="Y18" s="25" t="s">
        <v>15</v>
      </c>
      <c r="Z18" s="29" t="s">
        <v>13</v>
      </c>
      <c r="AA18" s="276"/>
      <c r="AB18" s="25" t="e">
        <f aca="true" t="shared" si="7" ref="AB18:AB25">Y18*AA18</f>
        <v>#VALUE!</v>
      </c>
      <c r="AC18" s="351" t="s">
        <v>145</v>
      </c>
      <c r="AD18" s="25" t="s">
        <v>98</v>
      </c>
      <c r="AE18" s="25">
        <v>60</v>
      </c>
      <c r="AF18" s="154">
        <f>ROUND($AE$1*AE18/1500,0)</f>
        <v>3</v>
      </c>
      <c r="AG18" s="242" t="s">
        <v>22</v>
      </c>
      <c r="AH18" s="276"/>
      <c r="AI18" s="76">
        <f aca="true" t="shared" si="8" ref="AI18:AI25">AF18*AH18</f>
        <v>0</v>
      </c>
      <c r="AM18" s="352"/>
      <c r="AN18" s="25" t="s">
        <v>259</v>
      </c>
      <c r="AO18" s="25">
        <v>41</v>
      </c>
      <c r="AP18" s="154">
        <f>ROUND($AE$1*AO18/1000,1)</f>
        <v>3</v>
      </c>
      <c r="AQ18" s="47" t="s">
        <v>11</v>
      </c>
      <c r="AR18" s="482" t="s">
        <v>187</v>
      </c>
      <c r="AS18" s="225" t="s">
        <v>93</v>
      </c>
      <c r="AT18" s="25">
        <v>10</v>
      </c>
      <c r="AU18" s="25" t="s">
        <v>15</v>
      </c>
      <c r="AV18" s="29" t="s">
        <v>13</v>
      </c>
      <c r="AW18" s="276"/>
      <c r="AX18" s="25" t="e">
        <f aca="true" t="shared" si="9" ref="AX18:AX25">AU18*AW18</f>
        <v>#VALUE!</v>
      </c>
    </row>
    <row r="19" spans="1:50" s="78" customFormat="1" ht="18.75" customHeight="1">
      <c r="A19" s="480"/>
      <c r="B19" s="27" t="s">
        <v>57</v>
      </c>
      <c r="C19" s="27">
        <v>20</v>
      </c>
      <c r="D19" s="92">
        <f>ROUND($AE$1*C19/1000,1)</f>
        <v>1.4</v>
      </c>
      <c r="E19" s="25" t="s">
        <v>11</v>
      </c>
      <c r="F19" s="276"/>
      <c r="G19" s="25">
        <f t="shared" si="4"/>
        <v>0</v>
      </c>
      <c r="H19" s="480"/>
      <c r="I19" s="33"/>
      <c r="J19" s="38"/>
      <c r="K19" s="92"/>
      <c r="L19" s="47"/>
      <c r="M19" s="276"/>
      <c r="N19" s="25">
        <f t="shared" si="5"/>
        <v>0</v>
      </c>
      <c r="O19" s="352"/>
      <c r="P19" s="38" t="s">
        <v>101</v>
      </c>
      <c r="Q19" s="38">
        <v>30</v>
      </c>
      <c r="R19" s="92">
        <v>3</v>
      </c>
      <c r="S19" s="92" t="s">
        <v>11</v>
      </c>
      <c r="T19" s="276"/>
      <c r="U19" s="25">
        <f t="shared" si="6"/>
        <v>0</v>
      </c>
      <c r="V19" s="482"/>
      <c r="W19" s="104" t="s">
        <v>102</v>
      </c>
      <c r="X19" s="25">
        <v>100</v>
      </c>
      <c r="Y19" s="92">
        <v>6</v>
      </c>
      <c r="Z19" s="29" t="s">
        <v>13</v>
      </c>
      <c r="AA19" s="276"/>
      <c r="AB19" s="25">
        <f t="shared" si="7"/>
        <v>0</v>
      </c>
      <c r="AC19" s="352"/>
      <c r="AD19" s="25" t="s">
        <v>259</v>
      </c>
      <c r="AE19" s="25">
        <v>41</v>
      </c>
      <c r="AF19" s="154">
        <f>ROUND($AE$1*AE19/1000,1)</f>
        <v>3</v>
      </c>
      <c r="AG19" s="47" t="s">
        <v>11</v>
      </c>
      <c r="AH19" s="276"/>
      <c r="AI19" s="76">
        <f t="shared" si="8"/>
        <v>0</v>
      </c>
      <c r="AM19" s="352"/>
      <c r="AN19" s="25" t="s">
        <v>43</v>
      </c>
      <c r="AO19" s="25">
        <v>41</v>
      </c>
      <c r="AP19" s="154">
        <f>ROUND($AE$1*AO19/1000,1)</f>
        <v>3</v>
      </c>
      <c r="AQ19" s="47" t="s">
        <v>11</v>
      </c>
      <c r="AR19" s="482"/>
      <c r="AS19" s="104" t="s">
        <v>102</v>
      </c>
      <c r="AT19" s="25">
        <v>100</v>
      </c>
      <c r="AU19" s="92">
        <v>6</v>
      </c>
      <c r="AV19" s="29" t="s">
        <v>13</v>
      </c>
      <c r="AW19" s="276"/>
      <c r="AX19" s="25">
        <f t="shared" si="9"/>
        <v>0</v>
      </c>
    </row>
    <row r="20" spans="1:50" s="78" customFormat="1" ht="18.75" customHeight="1">
      <c r="A20" s="480"/>
      <c r="B20" s="27" t="s">
        <v>58</v>
      </c>
      <c r="C20" s="27">
        <v>14.5</v>
      </c>
      <c r="D20" s="92">
        <f>ROUND($AE$1*C20/1000,1)</f>
        <v>1</v>
      </c>
      <c r="E20" s="25" t="s">
        <v>11</v>
      </c>
      <c r="F20" s="276"/>
      <c r="G20" s="25">
        <f t="shared" si="4"/>
        <v>0</v>
      </c>
      <c r="H20" s="480"/>
      <c r="I20" s="36" t="s">
        <v>32</v>
      </c>
      <c r="J20" s="36">
        <v>0.5</v>
      </c>
      <c r="K20" s="92">
        <f>ROUND($AE$1*J20,0)</f>
        <v>36</v>
      </c>
      <c r="L20" s="242" t="s">
        <v>86</v>
      </c>
      <c r="M20" s="276"/>
      <c r="N20" s="25">
        <f t="shared" si="5"/>
        <v>0</v>
      </c>
      <c r="O20" s="352"/>
      <c r="P20" s="243" t="s">
        <v>30</v>
      </c>
      <c r="Q20" s="38">
        <v>40</v>
      </c>
      <c r="R20" s="92">
        <v>3</v>
      </c>
      <c r="S20" s="92" t="s">
        <v>11</v>
      </c>
      <c r="T20" s="276"/>
      <c r="U20" s="25">
        <f t="shared" si="6"/>
        <v>0</v>
      </c>
      <c r="V20" s="482"/>
      <c r="W20" s="295" t="s">
        <v>231</v>
      </c>
      <c r="X20" s="38"/>
      <c r="Y20" s="181"/>
      <c r="Z20" s="47"/>
      <c r="AA20" s="276"/>
      <c r="AB20" s="25">
        <f t="shared" si="7"/>
        <v>0</v>
      </c>
      <c r="AC20" s="352"/>
      <c r="AD20" s="25" t="s">
        <v>43</v>
      </c>
      <c r="AE20" s="25">
        <v>41</v>
      </c>
      <c r="AF20" s="154">
        <f>ROUND($AE$1*AE20/1000,1)</f>
        <v>3</v>
      </c>
      <c r="AG20" s="47" t="s">
        <v>11</v>
      </c>
      <c r="AH20" s="276"/>
      <c r="AI20" s="76">
        <f t="shared" si="8"/>
        <v>0</v>
      </c>
      <c r="AM20" s="352"/>
      <c r="AN20" s="189"/>
      <c r="AO20" s="189"/>
      <c r="AP20" s="92"/>
      <c r="AQ20" s="47"/>
      <c r="AR20" s="482"/>
      <c r="AS20" s="38"/>
      <c r="AT20" s="38"/>
      <c r="AU20" s="181"/>
      <c r="AV20" s="47"/>
      <c r="AW20" s="276"/>
      <c r="AX20" s="25">
        <f t="shared" si="9"/>
        <v>0</v>
      </c>
    </row>
    <row r="21" spans="1:50" s="78" customFormat="1" ht="18.75" customHeight="1">
      <c r="A21" s="480"/>
      <c r="B21" s="33" t="s">
        <v>77</v>
      </c>
      <c r="C21" s="33">
        <v>8</v>
      </c>
      <c r="D21" s="92">
        <v>1</v>
      </c>
      <c r="E21" s="47" t="s">
        <v>24</v>
      </c>
      <c r="F21" s="276"/>
      <c r="G21" s="25">
        <f t="shared" si="4"/>
        <v>0</v>
      </c>
      <c r="H21" s="480"/>
      <c r="I21" s="28"/>
      <c r="J21" s="28"/>
      <c r="K21" s="92"/>
      <c r="L21" s="244"/>
      <c r="M21" s="276"/>
      <c r="N21" s="25">
        <f t="shared" si="5"/>
        <v>0</v>
      </c>
      <c r="O21" s="352"/>
      <c r="P21" s="27"/>
      <c r="Q21" s="27"/>
      <c r="R21" s="92"/>
      <c r="S21" s="92"/>
      <c r="T21" s="276"/>
      <c r="U21" s="25">
        <f t="shared" si="6"/>
        <v>0</v>
      </c>
      <c r="V21" s="482"/>
      <c r="W21" s="38"/>
      <c r="X21" s="36"/>
      <c r="Y21" s="92"/>
      <c r="Z21" s="47"/>
      <c r="AA21" s="276"/>
      <c r="AB21" s="25">
        <f t="shared" si="7"/>
        <v>0</v>
      </c>
      <c r="AC21" s="352"/>
      <c r="AD21" s="189"/>
      <c r="AE21" s="189"/>
      <c r="AF21" s="92"/>
      <c r="AG21" s="47"/>
      <c r="AH21" s="276"/>
      <c r="AI21" s="76">
        <f t="shared" si="8"/>
        <v>0</v>
      </c>
      <c r="AM21" s="352"/>
      <c r="AN21" s="225" t="s">
        <v>260</v>
      </c>
      <c r="AO21" s="25">
        <v>128</v>
      </c>
      <c r="AP21" s="154">
        <f>ROUND($AE$1*AO21/1000,0)</f>
        <v>9</v>
      </c>
      <c r="AQ21" s="29" t="s">
        <v>13</v>
      </c>
      <c r="AR21" s="482"/>
      <c r="AS21" s="38"/>
      <c r="AT21" s="36"/>
      <c r="AU21" s="92"/>
      <c r="AV21" s="47"/>
      <c r="AW21" s="276"/>
      <c r="AX21" s="25">
        <f t="shared" si="9"/>
        <v>0</v>
      </c>
    </row>
    <row r="22" spans="1:50" s="78" customFormat="1" ht="18.75" customHeight="1">
      <c r="A22" s="480"/>
      <c r="B22" s="27" t="s">
        <v>59</v>
      </c>
      <c r="C22" s="31">
        <v>12</v>
      </c>
      <c r="D22" s="82">
        <f>ROUND($AF$1*C22/300,0)</f>
        <v>3</v>
      </c>
      <c r="E22" s="25" t="s">
        <v>16</v>
      </c>
      <c r="F22" s="276"/>
      <c r="G22" s="25">
        <f t="shared" si="4"/>
        <v>0</v>
      </c>
      <c r="H22" s="480"/>
      <c r="I22" s="36"/>
      <c r="J22" s="36"/>
      <c r="K22" s="92"/>
      <c r="L22" s="242"/>
      <c r="M22" s="276"/>
      <c r="N22" s="25">
        <f t="shared" si="5"/>
        <v>0</v>
      </c>
      <c r="O22" s="352"/>
      <c r="P22" s="104" t="s">
        <v>102</v>
      </c>
      <c r="Q22" s="25">
        <v>128</v>
      </c>
      <c r="R22" s="31">
        <f>ROUND($AE$1*Q22/1000,0)</f>
        <v>9</v>
      </c>
      <c r="S22" s="42" t="s">
        <v>13</v>
      </c>
      <c r="T22" s="276"/>
      <c r="U22" s="25">
        <f t="shared" si="6"/>
        <v>0</v>
      </c>
      <c r="V22" s="482"/>
      <c r="W22" s="36"/>
      <c r="X22" s="36"/>
      <c r="Y22" s="92"/>
      <c r="Z22" s="242"/>
      <c r="AA22" s="276"/>
      <c r="AB22" s="25">
        <f t="shared" si="7"/>
        <v>0</v>
      </c>
      <c r="AC22" s="352"/>
      <c r="AD22" s="225" t="s">
        <v>260</v>
      </c>
      <c r="AE22" s="25">
        <v>128</v>
      </c>
      <c r="AF22" s="154">
        <f>ROUND($AE$1*AE22/1000,0)</f>
        <v>9</v>
      </c>
      <c r="AG22" s="29" t="s">
        <v>13</v>
      </c>
      <c r="AH22" s="276"/>
      <c r="AI22" s="76">
        <f t="shared" si="8"/>
        <v>0</v>
      </c>
      <c r="AM22" s="352"/>
      <c r="AN22" s="189"/>
      <c r="AO22" s="189"/>
      <c r="AP22" s="92"/>
      <c r="AQ22" s="47"/>
      <c r="AR22" s="482"/>
      <c r="AS22" s="36"/>
      <c r="AT22" s="36"/>
      <c r="AU22" s="92"/>
      <c r="AV22" s="242"/>
      <c r="AW22" s="276"/>
      <c r="AX22" s="25">
        <f t="shared" si="9"/>
        <v>0</v>
      </c>
    </row>
    <row r="23" spans="1:50" s="78" customFormat="1" ht="18.75" customHeight="1">
      <c r="A23" s="480"/>
      <c r="B23" s="27" t="s">
        <v>167</v>
      </c>
      <c r="C23" s="245">
        <v>10</v>
      </c>
      <c r="D23" s="92" t="s">
        <v>15</v>
      </c>
      <c r="E23" s="246" t="s">
        <v>11</v>
      </c>
      <c r="F23" s="276"/>
      <c r="G23" s="25" t="e">
        <f t="shared" si="4"/>
        <v>#VALUE!</v>
      </c>
      <c r="H23" s="480"/>
      <c r="I23" s="247"/>
      <c r="J23" s="38"/>
      <c r="K23" s="92"/>
      <c r="L23" s="47"/>
      <c r="M23" s="276"/>
      <c r="N23" s="25">
        <f t="shared" si="5"/>
        <v>0</v>
      </c>
      <c r="O23" s="352"/>
      <c r="P23" s="295" t="s">
        <v>233</v>
      </c>
      <c r="Q23" s="27"/>
      <c r="R23" s="92"/>
      <c r="S23" s="92"/>
      <c r="T23" s="276"/>
      <c r="U23" s="25">
        <f t="shared" si="6"/>
        <v>0</v>
      </c>
      <c r="V23" s="482"/>
      <c r="W23" s="25" t="s">
        <v>43</v>
      </c>
      <c r="X23" s="25">
        <v>60</v>
      </c>
      <c r="Y23" s="154">
        <f>ROUND($AE$1*X23/1000,1)</f>
        <v>4.3</v>
      </c>
      <c r="Z23" s="47" t="s">
        <v>11</v>
      </c>
      <c r="AA23" s="276"/>
      <c r="AB23" s="25">
        <f t="shared" si="7"/>
        <v>0</v>
      </c>
      <c r="AC23" s="352"/>
      <c r="AD23" s="295" t="s">
        <v>233</v>
      </c>
      <c r="AE23" s="189"/>
      <c r="AF23" s="92"/>
      <c r="AG23" s="47"/>
      <c r="AH23" s="276"/>
      <c r="AI23" s="76">
        <f t="shared" si="8"/>
        <v>0</v>
      </c>
      <c r="AM23" s="352"/>
      <c r="AN23" s="189"/>
      <c r="AO23" s="189"/>
      <c r="AP23" s="92"/>
      <c r="AQ23" s="47"/>
      <c r="AR23" s="482"/>
      <c r="AS23" s="25" t="s">
        <v>43</v>
      </c>
      <c r="AT23" s="25">
        <v>100</v>
      </c>
      <c r="AU23" s="154">
        <f>ROUND($AE$1*AT23/1000,1)</f>
        <v>7.2</v>
      </c>
      <c r="AV23" s="47" t="s">
        <v>11</v>
      </c>
      <c r="AW23" s="276"/>
      <c r="AX23" s="25">
        <f t="shared" si="9"/>
        <v>0</v>
      </c>
    </row>
    <row r="24" spans="1:50" s="78" customFormat="1" ht="18.75" customHeight="1" thickBot="1">
      <c r="A24" s="480"/>
      <c r="B24" s="28" t="s">
        <v>88</v>
      </c>
      <c r="C24" s="28">
        <v>10</v>
      </c>
      <c r="D24" s="25">
        <f>ROUND($AE$1*C24/1000,1)</f>
        <v>0.7</v>
      </c>
      <c r="E24" s="246" t="s">
        <v>11</v>
      </c>
      <c r="F24" s="276"/>
      <c r="G24" s="25">
        <f t="shared" si="4"/>
        <v>0</v>
      </c>
      <c r="H24" s="480"/>
      <c r="I24" s="28"/>
      <c r="J24" s="28"/>
      <c r="K24" s="92"/>
      <c r="L24" s="47"/>
      <c r="M24" s="276"/>
      <c r="N24" s="25">
        <f t="shared" si="5"/>
        <v>0</v>
      </c>
      <c r="O24" s="352"/>
      <c r="P24" s="28"/>
      <c r="Q24" s="28"/>
      <c r="R24" s="92"/>
      <c r="S24" s="92"/>
      <c r="T24" s="276"/>
      <c r="U24" s="25">
        <f t="shared" si="6"/>
        <v>0</v>
      </c>
      <c r="V24" s="482"/>
      <c r="W24" s="248"/>
      <c r="X24" s="249"/>
      <c r="Y24" s="249"/>
      <c r="Z24" s="250"/>
      <c r="AA24" s="276"/>
      <c r="AB24" s="25">
        <f t="shared" si="7"/>
        <v>0</v>
      </c>
      <c r="AC24" s="352"/>
      <c r="AD24" s="189"/>
      <c r="AE24" s="189"/>
      <c r="AF24" s="92"/>
      <c r="AG24" s="47"/>
      <c r="AH24" s="276"/>
      <c r="AI24" s="76">
        <f t="shared" si="8"/>
        <v>0</v>
      </c>
      <c r="AM24" s="352"/>
      <c r="AN24" s="302" t="s">
        <v>104</v>
      </c>
      <c r="AO24" s="203"/>
      <c r="AP24" s="108"/>
      <c r="AQ24" s="109"/>
      <c r="AR24" s="482"/>
      <c r="AS24" s="248"/>
      <c r="AT24" s="249"/>
      <c r="AU24" s="249"/>
      <c r="AV24" s="250"/>
      <c r="AW24" s="276"/>
      <c r="AX24" s="25">
        <f t="shared" si="9"/>
        <v>0</v>
      </c>
    </row>
    <row r="25" spans="1:50" s="78" customFormat="1" ht="18.75" customHeight="1" thickBot="1">
      <c r="A25" s="481"/>
      <c r="B25" s="214"/>
      <c r="C25" s="214"/>
      <c r="D25" s="199"/>
      <c r="E25" s="199"/>
      <c r="F25" s="278"/>
      <c r="G25" s="199">
        <f t="shared" si="4"/>
        <v>0</v>
      </c>
      <c r="H25" s="481"/>
      <c r="I25" s="214"/>
      <c r="J25" s="214"/>
      <c r="K25" s="108"/>
      <c r="L25" s="109"/>
      <c r="M25" s="278"/>
      <c r="N25" s="199">
        <f t="shared" si="5"/>
        <v>0</v>
      </c>
      <c r="O25" s="352"/>
      <c r="P25" s="214"/>
      <c r="Q25" s="214"/>
      <c r="R25" s="251"/>
      <c r="S25" s="108"/>
      <c r="T25" s="278"/>
      <c r="U25" s="199">
        <f>R25*T25</f>
        <v>0</v>
      </c>
      <c r="V25" s="483"/>
      <c r="W25" s="476"/>
      <c r="X25" s="477"/>
      <c r="Y25" s="477"/>
      <c r="Z25" s="478"/>
      <c r="AA25" s="278"/>
      <c r="AB25" s="199">
        <f t="shared" si="7"/>
        <v>0</v>
      </c>
      <c r="AC25" s="352"/>
      <c r="AD25" s="302" t="s">
        <v>104</v>
      </c>
      <c r="AE25" s="203"/>
      <c r="AF25" s="108"/>
      <c r="AG25" s="109"/>
      <c r="AH25" s="278"/>
      <c r="AI25" s="211">
        <f t="shared" si="8"/>
        <v>0</v>
      </c>
      <c r="AM25" s="340" t="s">
        <v>105</v>
      </c>
      <c r="AN25" s="116" t="s">
        <v>106</v>
      </c>
      <c r="AO25" s="343">
        <v>2</v>
      </c>
      <c r="AP25" s="343"/>
      <c r="AQ25" s="345"/>
      <c r="AR25" s="483"/>
      <c r="AS25" s="476"/>
      <c r="AT25" s="477"/>
      <c r="AU25" s="477"/>
      <c r="AV25" s="478"/>
      <c r="AW25" s="278"/>
      <c r="AX25" s="199">
        <f t="shared" si="9"/>
        <v>0</v>
      </c>
    </row>
    <row r="26" spans="1:50" s="65" customFormat="1" ht="18.75" customHeight="1">
      <c r="A26" s="337" t="s">
        <v>105</v>
      </c>
      <c r="B26" s="116" t="s">
        <v>106</v>
      </c>
      <c r="C26" s="343">
        <v>2.8</v>
      </c>
      <c r="D26" s="343"/>
      <c r="E26" s="345"/>
      <c r="F26" s="468" t="e">
        <f>SUM(#REF!)</f>
        <v>#REF!</v>
      </c>
      <c r="G26" s="348"/>
      <c r="H26" s="337" t="s">
        <v>105</v>
      </c>
      <c r="I26" s="116" t="s">
        <v>106</v>
      </c>
      <c r="J26" s="343">
        <v>1.5</v>
      </c>
      <c r="K26" s="343"/>
      <c r="L26" s="345"/>
      <c r="M26" s="468" t="e">
        <f>SUM(#REF!)</f>
        <v>#REF!</v>
      </c>
      <c r="N26" s="348"/>
      <c r="O26" s="340" t="s">
        <v>105</v>
      </c>
      <c r="P26" s="116" t="s">
        <v>106</v>
      </c>
      <c r="Q26" s="343">
        <v>2</v>
      </c>
      <c r="R26" s="343"/>
      <c r="S26" s="345"/>
      <c r="T26" s="468" t="e">
        <f>SUM(#REF!)</f>
        <v>#REF!</v>
      </c>
      <c r="U26" s="347"/>
      <c r="V26" s="340" t="s">
        <v>105</v>
      </c>
      <c r="W26" s="116" t="s">
        <v>106</v>
      </c>
      <c r="X26" s="343">
        <v>2.5</v>
      </c>
      <c r="Y26" s="343"/>
      <c r="Z26" s="343"/>
      <c r="AA26" s="348" t="e">
        <f>SUM(#REF!)</f>
        <v>#REF!</v>
      </c>
      <c r="AB26" s="486"/>
      <c r="AC26" s="487" t="s">
        <v>105</v>
      </c>
      <c r="AD26" s="116" t="s">
        <v>106</v>
      </c>
      <c r="AE26" s="343">
        <v>2</v>
      </c>
      <c r="AF26" s="343"/>
      <c r="AG26" s="345"/>
      <c r="AH26" s="484" t="e">
        <f>SUM(#REF!)</f>
        <v>#REF!</v>
      </c>
      <c r="AI26" s="485"/>
      <c r="AJ26" s="117">
        <f>(AE26+C26+J26+Q26+X26)/5</f>
        <v>2.16</v>
      </c>
      <c r="AM26" s="341"/>
      <c r="AN26" s="118" t="s">
        <v>107</v>
      </c>
      <c r="AO26" s="323">
        <v>0.5</v>
      </c>
      <c r="AP26" s="323"/>
      <c r="AQ26" s="324"/>
      <c r="AR26" s="429" t="s">
        <v>105</v>
      </c>
      <c r="AS26" s="116" t="s">
        <v>106</v>
      </c>
      <c r="AT26" s="343">
        <v>2.5</v>
      </c>
      <c r="AU26" s="343"/>
      <c r="AV26" s="343"/>
      <c r="AW26" s="468" t="e">
        <f>SUM(#REF!)</f>
        <v>#REF!</v>
      </c>
      <c r="AX26" s="348"/>
    </row>
    <row r="27" spans="1:50" s="65" customFormat="1" ht="18.75" customHeight="1">
      <c r="A27" s="338"/>
      <c r="B27" s="118" t="s">
        <v>107</v>
      </c>
      <c r="C27" s="323">
        <v>0.6</v>
      </c>
      <c r="D27" s="323"/>
      <c r="E27" s="324"/>
      <c r="F27" s="120"/>
      <c r="G27" s="172"/>
      <c r="H27" s="338"/>
      <c r="I27" s="118" t="s">
        <v>107</v>
      </c>
      <c r="J27" s="323">
        <v>0.5</v>
      </c>
      <c r="K27" s="323"/>
      <c r="L27" s="324"/>
      <c r="M27" s="120"/>
      <c r="N27" s="172"/>
      <c r="O27" s="341"/>
      <c r="P27" s="118" t="s">
        <v>107</v>
      </c>
      <c r="Q27" s="323">
        <v>0.6</v>
      </c>
      <c r="R27" s="323"/>
      <c r="S27" s="324"/>
      <c r="T27" s="120"/>
      <c r="U27" s="172"/>
      <c r="V27" s="341"/>
      <c r="W27" s="118" t="s">
        <v>107</v>
      </c>
      <c r="X27" s="323">
        <v>1.1</v>
      </c>
      <c r="Y27" s="323"/>
      <c r="Z27" s="323"/>
      <c r="AA27" s="173"/>
      <c r="AB27" s="239"/>
      <c r="AC27" s="488"/>
      <c r="AD27" s="118" t="s">
        <v>107</v>
      </c>
      <c r="AE27" s="323">
        <v>0.5</v>
      </c>
      <c r="AF27" s="323"/>
      <c r="AG27" s="324"/>
      <c r="AH27" s="122"/>
      <c r="AI27" s="123"/>
      <c r="AJ27" s="117">
        <f aca="true" t="shared" si="10" ref="AJ27:AJ32">(AE27+C27+J27+Q27+X27)/5</f>
        <v>0.66</v>
      </c>
      <c r="AM27" s="341"/>
      <c r="AN27" s="124" t="s">
        <v>108</v>
      </c>
      <c r="AO27" s="323">
        <v>0.7</v>
      </c>
      <c r="AP27" s="323"/>
      <c r="AQ27" s="324"/>
      <c r="AR27" s="430"/>
      <c r="AS27" s="118" t="s">
        <v>107</v>
      </c>
      <c r="AT27" s="323">
        <v>1.1</v>
      </c>
      <c r="AU27" s="323"/>
      <c r="AV27" s="323"/>
      <c r="AW27" s="120"/>
      <c r="AX27" s="172"/>
    </row>
    <row r="28" spans="1:50" s="65" customFormat="1" ht="18.75" customHeight="1">
      <c r="A28" s="338"/>
      <c r="B28" s="124" t="s">
        <v>108</v>
      </c>
      <c r="C28" s="323">
        <v>0.3</v>
      </c>
      <c r="D28" s="323"/>
      <c r="E28" s="324"/>
      <c r="F28" s="120"/>
      <c r="G28" s="172"/>
      <c r="H28" s="338"/>
      <c r="I28" s="124" t="s">
        <v>108</v>
      </c>
      <c r="J28" s="323">
        <v>0.4</v>
      </c>
      <c r="K28" s="323"/>
      <c r="L28" s="324"/>
      <c r="M28" s="120"/>
      <c r="N28" s="172"/>
      <c r="O28" s="341"/>
      <c r="P28" s="124" t="s">
        <v>108</v>
      </c>
      <c r="Q28" s="323">
        <v>0.5</v>
      </c>
      <c r="R28" s="323"/>
      <c r="S28" s="324"/>
      <c r="T28" s="120"/>
      <c r="U28" s="172"/>
      <c r="V28" s="341"/>
      <c r="W28" s="124" t="s">
        <v>108</v>
      </c>
      <c r="X28" s="323">
        <v>0.3</v>
      </c>
      <c r="Y28" s="323"/>
      <c r="Z28" s="323"/>
      <c r="AA28" s="173"/>
      <c r="AB28" s="239"/>
      <c r="AC28" s="488"/>
      <c r="AD28" s="124" t="s">
        <v>108</v>
      </c>
      <c r="AE28" s="323">
        <v>0.7</v>
      </c>
      <c r="AF28" s="323"/>
      <c r="AG28" s="324"/>
      <c r="AH28" s="122"/>
      <c r="AI28" s="123"/>
      <c r="AJ28" s="117">
        <f t="shared" si="10"/>
        <v>0.43999999999999995</v>
      </c>
      <c r="AM28" s="341"/>
      <c r="AN28" s="125" t="s">
        <v>109</v>
      </c>
      <c r="AO28" s="323">
        <v>0.5</v>
      </c>
      <c r="AP28" s="323"/>
      <c r="AQ28" s="324"/>
      <c r="AR28" s="430"/>
      <c r="AS28" s="124" t="s">
        <v>108</v>
      </c>
      <c r="AT28" s="323">
        <v>0.3</v>
      </c>
      <c r="AU28" s="323"/>
      <c r="AV28" s="323"/>
      <c r="AW28" s="120"/>
      <c r="AX28" s="172"/>
    </row>
    <row r="29" spans="1:50" s="65" customFormat="1" ht="18.75" customHeight="1">
      <c r="A29" s="338"/>
      <c r="B29" s="125" t="s">
        <v>109</v>
      </c>
      <c r="C29" s="323">
        <v>0.5</v>
      </c>
      <c r="D29" s="323"/>
      <c r="E29" s="324"/>
      <c r="F29" s="120"/>
      <c r="G29" s="172"/>
      <c r="H29" s="338"/>
      <c r="I29" s="125" t="s">
        <v>110</v>
      </c>
      <c r="J29" s="323">
        <v>0.5</v>
      </c>
      <c r="K29" s="323"/>
      <c r="L29" s="324"/>
      <c r="M29" s="120"/>
      <c r="N29" s="172"/>
      <c r="O29" s="341"/>
      <c r="P29" s="125" t="s">
        <v>109</v>
      </c>
      <c r="Q29" s="323">
        <v>0.5</v>
      </c>
      <c r="R29" s="323"/>
      <c r="S29" s="324"/>
      <c r="T29" s="120"/>
      <c r="U29" s="172"/>
      <c r="V29" s="341"/>
      <c r="W29" s="125" t="s">
        <v>110</v>
      </c>
      <c r="X29" s="323">
        <v>0.5</v>
      </c>
      <c r="Y29" s="323"/>
      <c r="Z29" s="323"/>
      <c r="AA29" s="173"/>
      <c r="AB29" s="239"/>
      <c r="AC29" s="488"/>
      <c r="AD29" s="125" t="s">
        <v>109</v>
      </c>
      <c r="AE29" s="323">
        <v>0.5</v>
      </c>
      <c r="AF29" s="323"/>
      <c r="AG29" s="324"/>
      <c r="AH29" s="122"/>
      <c r="AI29" s="123"/>
      <c r="AJ29" s="117">
        <f t="shared" si="10"/>
        <v>0.5</v>
      </c>
      <c r="AM29" s="341"/>
      <c r="AN29" s="118" t="s">
        <v>111</v>
      </c>
      <c r="AO29" s="323">
        <v>1</v>
      </c>
      <c r="AP29" s="323"/>
      <c r="AQ29" s="324"/>
      <c r="AR29" s="430"/>
      <c r="AS29" s="125" t="s">
        <v>110</v>
      </c>
      <c r="AT29" s="323">
        <v>0.5</v>
      </c>
      <c r="AU29" s="323"/>
      <c r="AV29" s="323"/>
      <c r="AW29" s="120"/>
      <c r="AX29" s="172"/>
    </row>
    <row r="30" spans="1:50" s="65" customFormat="1" ht="18.75" customHeight="1">
      <c r="A30" s="338"/>
      <c r="B30" s="118" t="s">
        <v>111</v>
      </c>
      <c r="C30" s="323">
        <v>0</v>
      </c>
      <c r="D30" s="323"/>
      <c r="E30" s="324"/>
      <c r="F30" s="120"/>
      <c r="G30" s="172"/>
      <c r="H30" s="338"/>
      <c r="I30" s="118" t="s">
        <v>111</v>
      </c>
      <c r="J30" s="323">
        <v>1</v>
      </c>
      <c r="K30" s="323"/>
      <c r="L30" s="324"/>
      <c r="M30" s="120"/>
      <c r="N30" s="172"/>
      <c r="O30" s="341"/>
      <c r="P30" s="118" t="s">
        <v>111</v>
      </c>
      <c r="Q30" s="323">
        <v>1</v>
      </c>
      <c r="R30" s="323"/>
      <c r="S30" s="324"/>
      <c r="T30" s="120"/>
      <c r="U30" s="172"/>
      <c r="V30" s="341"/>
      <c r="W30" s="118" t="s">
        <v>111</v>
      </c>
      <c r="X30" s="323">
        <v>0.5</v>
      </c>
      <c r="Y30" s="323"/>
      <c r="Z30" s="323"/>
      <c r="AA30" s="173"/>
      <c r="AB30" s="239"/>
      <c r="AC30" s="488"/>
      <c r="AD30" s="118" t="s">
        <v>111</v>
      </c>
      <c r="AE30" s="323">
        <v>1</v>
      </c>
      <c r="AF30" s="323"/>
      <c r="AG30" s="324"/>
      <c r="AH30" s="122"/>
      <c r="AI30" s="123"/>
      <c r="AJ30" s="117">
        <f t="shared" si="10"/>
        <v>0.7</v>
      </c>
      <c r="AM30" s="341"/>
      <c r="AN30" s="118" t="s">
        <v>112</v>
      </c>
      <c r="AO30" s="323">
        <v>0.6</v>
      </c>
      <c r="AP30" s="323"/>
      <c r="AQ30" s="324"/>
      <c r="AR30" s="430"/>
      <c r="AS30" s="118" t="s">
        <v>111</v>
      </c>
      <c r="AT30" s="323">
        <v>0.8</v>
      </c>
      <c r="AU30" s="323"/>
      <c r="AV30" s="323"/>
      <c r="AW30" s="120"/>
      <c r="AX30" s="172"/>
    </row>
    <row r="31" spans="1:50" s="65" customFormat="1" ht="18.75" customHeight="1" thickBot="1">
      <c r="A31" s="338"/>
      <c r="B31" s="118" t="s">
        <v>112</v>
      </c>
      <c r="C31" s="323">
        <v>0.3</v>
      </c>
      <c r="D31" s="323"/>
      <c r="E31" s="324"/>
      <c r="F31" s="120"/>
      <c r="G31" s="172"/>
      <c r="H31" s="338"/>
      <c r="I31" s="118" t="s">
        <v>112</v>
      </c>
      <c r="J31" s="323">
        <v>0.5</v>
      </c>
      <c r="K31" s="323"/>
      <c r="L31" s="324"/>
      <c r="M31" s="120"/>
      <c r="N31" s="172"/>
      <c r="O31" s="341"/>
      <c r="P31" s="118" t="s">
        <v>112</v>
      </c>
      <c r="Q31" s="323">
        <v>0.6</v>
      </c>
      <c r="R31" s="323"/>
      <c r="S31" s="324"/>
      <c r="T31" s="120"/>
      <c r="U31" s="172"/>
      <c r="V31" s="341"/>
      <c r="W31" s="118" t="s">
        <v>112</v>
      </c>
      <c r="X31" s="323">
        <v>0.4</v>
      </c>
      <c r="Y31" s="323"/>
      <c r="Z31" s="323"/>
      <c r="AA31" s="173"/>
      <c r="AB31" s="239"/>
      <c r="AC31" s="488"/>
      <c r="AD31" s="118" t="s">
        <v>112</v>
      </c>
      <c r="AE31" s="323">
        <v>0.6</v>
      </c>
      <c r="AF31" s="323"/>
      <c r="AG31" s="324"/>
      <c r="AH31" s="122"/>
      <c r="AI31" s="123"/>
      <c r="AJ31" s="117">
        <f t="shared" si="10"/>
        <v>0.48</v>
      </c>
      <c r="AM31" s="342"/>
      <c r="AN31" s="127" t="s">
        <v>113</v>
      </c>
      <c r="AO31" s="332">
        <f>AO25*70+AO26*75+AO27*25+AO28*45+AO30*120+AO29*60</f>
        <v>349.5</v>
      </c>
      <c r="AP31" s="332"/>
      <c r="AQ31" s="333"/>
      <c r="AR31" s="430"/>
      <c r="AS31" s="118" t="s">
        <v>112</v>
      </c>
      <c r="AT31" s="323">
        <v>0.4</v>
      </c>
      <c r="AU31" s="323"/>
      <c r="AV31" s="323"/>
      <c r="AW31" s="120"/>
      <c r="AX31" s="172"/>
    </row>
    <row r="32" spans="1:50" s="65" customFormat="1" ht="18.75" customHeight="1" thickBot="1">
      <c r="A32" s="339"/>
      <c r="B32" s="127" t="s">
        <v>113</v>
      </c>
      <c r="C32" s="332">
        <f>C26*70+C27*75+C28*25+C29*45+C31*120+C30*60</f>
        <v>307</v>
      </c>
      <c r="D32" s="332"/>
      <c r="E32" s="333"/>
      <c r="F32" s="130"/>
      <c r="G32" s="129"/>
      <c r="H32" s="339"/>
      <c r="I32" s="127" t="s">
        <v>113</v>
      </c>
      <c r="J32" s="332">
        <f>J26*70+J27*75+J28*25+J29*45+J31*120+J30*60</f>
        <v>295</v>
      </c>
      <c r="K32" s="332"/>
      <c r="L32" s="333"/>
      <c r="M32" s="130"/>
      <c r="N32" s="129"/>
      <c r="O32" s="342"/>
      <c r="P32" s="127" t="s">
        <v>113</v>
      </c>
      <c r="Q32" s="332">
        <f>Q26*70+Q27*75+Q28*25+Q29*45+Q31*120+Q30*60</f>
        <v>352</v>
      </c>
      <c r="R32" s="332"/>
      <c r="S32" s="333"/>
      <c r="T32" s="130"/>
      <c r="U32" s="129"/>
      <c r="V32" s="342"/>
      <c r="W32" s="127" t="s">
        <v>113</v>
      </c>
      <c r="X32" s="332">
        <f>X26*70+X27*75+X28*25+X29*45+X31*120+X30*60</f>
        <v>365.5</v>
      </c>
      <c r="Y32" s="332"/>
      <c r="Z32" s="332"/>
      <c r="AA32" s="132"/>
      <c r="AB32" s="240"/>
      <c r="AC32" s="489"/>
      <c r="AD32" s="127" t="s">
        <v>113</v>
      </c>
      <c r="AE32" s="332">
        <f>AE26*70+AE27*75+AE28*25+AE29*45+AE31*120+AE30*60</f>
        <v>349.5</v>
      </c>
      <c r="AF32" s="332"/>
      <c r="AG32" s="333"/>
      <c r="AH32" s="133"/>
      <c r="AI32" s="134"/>
      <c r="AJ32" s="117">
        <f t="shared" si="10"/>
        <v>333.8</v>
      </c>
      <c r="AR32" s="431"/>
      <c r="AS32" s="127" t="s">
        <v>113</v>
      </c>
      <c r="AT32" s="332">
        <f>AT26*70+AT27*75+AT28*25+AT29*45+AT31*120+AT30*60</f>
        <v>383.5</v>
      </c>
      <c r="AU32" s="332"/>
      <c r="AV32" s="332"/>
      <c r="AW32" s="130"/>
      <c r="AX32" s="129"/>
    </row>
    <row r="33" spans="1:34" s="78" customFormat="1" ht="18.75" customHeight="1">
      <c r="A33" s="135"/>
      <c r="D33" s="136"/>
      <c r="E33" s="136"/>
      <c r="F33" s="137"/>
      <c r="H33" s="212"/>
      <c r="K33" s="136"/>
      <c r="L33" s="136"/>
      <c r="M33" s="137"/>
      <c r="O33" s="213"/>
      <c r="P33" s="135"/>
      <c r="Q33" s="135"/>
      <c r="R33" s="140"/>
      <c r="S33" s="140"/>
      <c r="T33" s="137"/>
      <c r="V33" s="212"/>
      <c r="W33" s="135"/>
      <c r="X33" s="135"/>
      <c r="Y33" s="140"/>
      <c r="Z33" s="140"/>
      <c r="AA33" s="137"/>
      <c r="AC33" s="135"/>
      <c r="AF33" s="136"/>
      <c r="AG33" s="136"/>
      <c r="AH33" s="137"/>
    </row>
    <row r="34" spans="1:45" s="78" customFormat="1" ht="19.5" customHeight="1">
      <c r="A34" s="335" t="s">
        <v>114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141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</row>
    <row r="35" spans="1:47" s="78" customFormat="1" ht="22.5" customHeight="1">
      <c r="A35" s="331" t="s">
        <v>115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141"/>
      <c r="AJ35" s="142"/>
      <c r="AK35" s="142"/>
      <c r="AL35" s="142"/>
      <c r="AM35" s="142"/>
      <c r="AN35" s="142"/>
      <c r="AO35" s="142"/>
      <c r="AP35" s="142"/>
      <c r="AQ35" s="351" t="s">
        <v>191</v>
      </c>
      <c r="AR35" s="26" t="s">
        <v>193</v>
      </c>
      <c r="AS35" s="26">
        <v>1</v>
      </c>
      <c r="AT35" s="92">
        <f>ROUND($AE$1*AS35,0)</f>
        <v>72</v>
      </c>
      <c r="AU35" s="47" t="s">
        <v>22</v>
      </c>
    </row>
    <row r="36" spans="43:47" ht="26.25">
      <c r="AQ36" s="352"/>
      <c r="AR36" s="26" t="s">
        <v>192</v>
      </c>
      <c r="AS36" s="27"/>
      <c r="AT36" s="25"/>
      <c r="AU36" s="238"/>
    </row>
    <row r="37" spans="43:47" ht="26.25">
      <c r="AQ37" s="352"/>
      <c r="AR37" s="27" t="s">
        <v>194</v>
      </c>
      <c r="AS37" s="27">
        <v>33</v>
      </c>
      <c r="AT37" s="92">
        <f>ROUND($AE$1*AS37/1000,0)</f>
        <v>2</v>
      </c>
      <c r="AU37" s="25" t="s">
        <v>13</v>
      </c>
    </row>
    <row r="38" spans="43:47" ht="26.25">
      <c r="AQ38" s="352"/>
      <c r="AR38" s="104" t="s">
        <v>102</v>
      </c>
      <c r="AS38" s="27">
        <v>100</v>
      </c>
      <c r="AT38" s="92">
        <f>ROUND($AE$1*AS38/1000,0)</f>
        <v>7</v>
      </c>
      <c r="AU38" s="25" t="s">
        <v>13</v>
      </c>
    </row>
    <row r="39" spans="43:47" ht="26.25">
      <c r="AQ39" s="352"/>
      <c r="AR39" s="33"/>
      <c r="AS39" s="33"/>
      <c r="AT39" s="25"/>
      <c r="AU39" s="29"/>
    </row>
    <row r="40" spans="43:47" ht="26.25">
      <c r="AQ40" s="352"/>
      <c r="AR40" s="33"/>
      <c r="AS40" s="33"/>
      <c r="AT40" s="25"/>
      <c r="AU40" s="29"/>
    </row>
    <row r="41" spans="43:47" ht="26.25">
      <c r="AQ41" s="352"/>
      <c r="AR41" s="33"/>
      <c r="AS41" s="33"/>
      <c r="AT41" s="25"/>
      <c r="AU41" s="29"/>
    </row>
    <row r="42" spans="43:47" ht="26.25">
      <c r="AQ42" s="352"/>
      <c r="AR42" s="33"/>
      <c r="AS42" s="33"/>
      <c r="AT42" s="25"/>
      <c r="AU42" s="29"/>
    </row>
    <row r="43" spans="43:47" ht="26.25">
      <c r="AQ43" s="352"/>
      <c r="AR43" s="33"/>
      <c r="AS43" s="33"/>
      <c r="AT43" s="25"/>
      <c r="AU43" s="29"/>
    </row>
    <row r="44" spans="43:47" ht="26.25">
      <c r="AQ44" s="352"/>
      <c r="AR44" s="33"/>
      <c r="AS44" s="33"/>
      <c r="AT44" s="25"/>
      <c r="AU44" s="29"/>
    </row>
    <row r="45" spans="43:47" ht="26.25">
      <c r="AQ45" s="413"/>
      <c r="AR45" s="27"/>
      <c r="AS45" s="27"/>
      <c r="AT45" s="25"/>
      <c r="AU45" s="29"/>
    </row>
    <row r="46" spans="43:47" ht="26.25">
      <c r="AQ46" s="349" t="s">
        <v>12</v>
      </c>
      <c r="AR46" s="349"/>
      <c r="AS46" s="349"/>
      <c r="AT46" s="349"/>
      <c r="AU46" s="349"/>
    </row>
    <row r="47" spans="43:47" ht="26.25">
      <c r="AQ47" s="480" t="s">
        <v>62</v>
      </c>
      <c r="AR47" s="27" t="s">
        <v>31</v>
      </c>
      <c r="AS47" s="27">
        <v>5.5</v>
      </c>
      <c r="AT47" s="92">
        <v>2</v>
      </c>
      <c r="AU47" s="25" t="s">
        <v>16</v>
      </c>
    </row>
    <row r="48" spans="43:47" ht="26.25">
      <c r="AQ48" s="480"/>
      <c r="AR48" s="27" t="s">
        <v>57</v>
      </c>
      <c r="AS48" s="27">
        <v>18</v>
      </c>
      <c r="AT48" s="92">
        <f>ROUND($AE$1*AS48/1000,1)</f>
        <v>1.3</v>
      </c>
      <c r="AU48" s="25" t="s">
        <v>11</v>
      </c>
    </row>
    <row r="49" spans="43:47" ht="26.25">
      <c r="AQ49" s="480"/>
      <c r="AR49" s="27" t="s">
        <v>58</v>
      </c>
      <c r="AS49" s="27">
        <v>14.5</v>
      </c>
      <c r="AT49" s="92">
        <f>ROUND($AE$1*AS49/1000,1)</f>
        <v>1</v>
      </c>
      <c r="AU49" s="25" t="s">
        <v>11</v>
      </c>
    </row>
    <row r="50" spans="43:47" ht="26.25">
      <c r="AQ50" s="480"/>
      <c r="AR50" s="33" t="s">
        <v>77</v>
      </c>
      <c r="AS50" s="33">
        <v>8</v>
      </c>
      <c r="AT50" s="92">
        <v>1</v>
      </c>
      <c r="AU50" s="47" t="s">
        <v>24</v>
      </c>
    </row>
    <row r="51" spans="43:47" ht="26.25">
      <c r="AQ51" s="480"/>
      <c r="AR51" s="27" t="s">
        <v>59</v>
      </c>
      <c r="AS51" s="27">
        <v>10</v>
      </c>
      <c r="AT51" s="92">
        <v>2</v>
      </c>
      <c r="AU51" s="25" t="s">
        <v>16</v>
      </c>
    </row>
    <row r="52" spans="43:47" ht="26.25">
      <c r="AQ52" s="480"/>
      <c r="AR52" s="27" t="s">
        <v>167</v>
      </c>
      <c r="AS52" s="245">
        <v>10</v>
      </c>
      <c r="AT52" s="92" t="s">
        <v>15</v>
      </c>
      <c r="AU52" s="246" t="s">
        <v>11</v>
      </c>
    </row>
    <row r="53" spans="43:47" ht="31.5">
      <c r="AQ53" s="480"/>
      <c r="AR53" s="28" t="s">
        <v>88</v>
      </c>
      <c r="AS53" s="28">
        <v>10</v>
      </c>
      <c r="AT53" s="25">
        <f>ROUND($AE$1*AS53/1000,1)</f>
        <v>0.7</v>
      </c>
      <c r="AU53" s="246" t="s">
        <v>11</v>
      </c>
    </row>
    <row r="54" spans="43:47" ht="27" thickBot="1">
      <c r="AQ54" s="481"/>
      <c r="AR54" s="214"/>
      <c r="AS54" s="214"/>
      <c r="AT54" s="199"/>
      <c r="AU54" s="199"/>
    </row>
    <row r="55" spans="43:47" ht="26.25">
      <c r="AQ55" s="337" t="s">
        <v>105</v>
      </c>
      <c r="AR55" s="116" t="s">
        <v>106</v>
      </c>
      <c r="AS55" s="343">
        <v>2.8</v>
      </c>
      <c r="AT55" s="343"/>
      <c r="AU55" s="345"/>
    </row>
    <row r="56" spans="43:47" ht="26.25">
      <c r="AQ56" s="338"/>
      <c r="AR56" s="118" t="s">
        <v>107</v>
      </c>
      <c r="AS56" s="323">
        <v>0.6</v>
      </c>
      <c r="AT56" s="323"/>
      <c r="AU56" s="324"/>
    </row>
    <row r="57" spans="43:47" ht="26.25">
      <c r="AQ57" s="338"/>
      <c r="AR57" s="124" t="s">
        <v>108</v>
      </c>
      <c r="AS57" s="323">
        <v>0.3</v>
      </c>
      <c r="AT57" s="323"/>
      <c r="AU57" s="324"/>
    </row>
    <row r="58" spans="43:47" ht="26.25">
      <c r="AQ58" s="338"/>
      <c r="AR58" s="125" t="s">
        <v>109</v>
      </c>
      <c r="AS58" s="323">
        <v>0.5</v>
      </c>
      <c r="AT58" s="323"/>
      <c r="AU58" s="324"/>
    </row>
    <row r="59" spans="43:47" ht="26.25">
      <c r="AQ59" s="338"/>
      <c r="AR59" s="118" t="s">
        <v>111</v>
      </c>
      <c r="AS59" s="323">
        <v>0</v>
      </c>
      <c r="AT59" s="323"/>
      <c r="AU59" s="324"/>
    </row>
    <row r="60" spans="43:47" ht="26.25">
      <c r="AQ60" s="338"/>
      <c r="AR60" s="118" t="s">
        <v>112</v>
      </c>
      <c r="AS60" s="323">
        <v>0.3</v>
      </c>
      <c r="AT60" s="323"/>
      <c r="AU60" s="324"/>
    </row>
    <row r="61" spans="43:47" ht="27" thickBot="1">
      <c r="AQ61" s="339"/>
      <c r="AR61" s="127" t="s">
        <v>113</v>
      </c>
      <c r="AS61" s="332">
        <f>AS55*70+AS56*75+AS57*25+AS58*45+AS60*120+AS59*60</f>
        <v>307</v>
      </c>
      <c r="AT61" s="332"/>
      <c r="AU61" s="333"/>
    </row>
  </sheetData>
  <sheetProtection/>
  <mergeCells count="123">
    <mergeCell ref="AW26:AX26"/>
    <mergeCell ref="A6:A16"/>
    <mergeCell ref="A17:E17"/>
    <mergeCell ref="A18:A25"/>
    <mergeCell ref="C26:E26"/>
    <mergeCell ref="J26:L26"/>
    <mergeCell ref="Q26:S26"/>
    <mergeCell ref="X26:Z26"/>
    <mergeCell ref="H6:H16"/>
    <mergeCell ref="AC6:AC16"/>
    <mergeCell ref="B2:E2"/>
    <mergeCell ref="AS14:AV14"/>
    <mergeCell ref="AC5:AG5"/>
    <mergeCell ref="I4:L4"/>
    <mergeCell ref="P4:S4"/>
    <mergeCell ref="V2:V4"/>
    <mergeCell ref="W2:Z2"/>
    <mergeCell ref="A5:E5"/>
    <mergeCell ref="H5:L5"/>
    <mergeCell ref="O5:S5"/>
    <mergeCell ref="A1:L1"/>
    <mergeCell ref="P1:AD1"/>
    <mergeCell ref="H2:H4"/>
    <mergeCell ref="I2:L2"/>
    <mergeCell ref="O2:O4"/>
    <mergeCell ref="B4:E4"/>
    <mergeCell ref="P2:S2"/>
    <mergeCell ref="W4:Z4"/>
    <mergeCell ref="AD4:AG4"/>
    <mergeCell ref="A2:A4"/>
    <mergeCell ref="V5:Z5"/>
    <mergeCell ref="AE29:AG29"/>
    <mergeCell ref="AC2:AC4"/>
    <mergeCell ref="AD2:AG2"/>
    <mergeCell ref="AE26:AG26"/>
    <mergeCell ref="AC17:AG17"/>
    <mergeCell ref="C27:E27"/>
    <mergeCell ref="J27:L27"/>
    <mergeCell ref="AE27:AG27"/>
    <mergeCell ref="T26:U26"/>
    <mergeCell ref="AE31:AG31"/>
    <mergeCell ref="C28:E28"/>
    <mergeCell ref="J28:L28"/>
    <mergeCell ref="Q28:S28"/>
    <mergeCell ref="X28:Z28"/>
    <mergeCell ref="AE28:AG28"/>
    <mergeCell ref="C29:E29"/>
    <mergeCell ref="J29:L29"/>
    <mergeCell ref="Q29:S29"/>
    <mergeCell ref="X29:Z29"/>
    <mergeCell ref="AE32:AG32"/>
    <mergeCell ref="C30:E30"/>
    <mergeCell ref="J30:L30"/>
    <mergeCell ref="Q30:S30"/>
    <mergeCell ref="X30:Z30"/>
    <mergeCell ref="AE30:AG30"/>
    <mergeCell ref="C31:E31"/>
    <mergeCell ref="J31:L31"/>
    <mergeCell ref="Q31:S31"/>
    <mergeCell ref="X31:Z31"/>
    <mergeCell ref="O6:O16"/>
    <mergeCell ref="V6:V16"/>
    <mergeCell ref="P14:S14"/>
    <mergeCell ref="H17:L17"/>
    <mergeCell ref="O17:S17"/>
    <mergeCell ref="V17:Z17"/>
    <mergeCell ref="Q32:S32"/>
    <mergeCell ref="X32:Z32"/>
    <mergeCell ref="AC18:AC25"/>
    <mergeCell ref="V26:V32"/>
    <mergeCell ref="AA26:AB26"/>
    <mergeCell ref="AC26:AC32"/>
    <mergeCell ref="Q27:S27"/>
    <mergeCell ref="X27:Z27"/>
    <mergeCell ref="H18:H25"/>
    <mergeCell ref="O18:O25"/>
    <mergeCell ref="V18:V25"/>
    <mergeCell ref="A35:AH35"/>
    <mergeCell ref="AH26:AI26"/>
    <mergeCell ref="A26:A32"/>
    <mergeCell ref="F26:G26"/>
    <mergeCell ref="H26:H32"/>
    <mergeCell ref="M26:N26"/>
    <mergeCell ref="O26:O32"/>
    <mergeCell ref="C32:E32"/>
    <mergeCell ref="J32:L32"/>
    <mergeCell ref="A34:AH34"/>
    <mergeCell ref="AR6:AR16"/>
    <mergeCell ref="AR17:AV17"/>
    <mergeCell ref="AR18:AR25"/>
    <mergeCell ref="AR26:AR32"/>
    <mergeCell ref="AT26:AV26"/>
    <mergeCell ref="AT27:AV27"/>
    <mergeCell ref="AT28:AV28"/>
    <mergeCell ref="AS25:AV25"/>
    <mergeCell ref="AQ47:AQ54"/>
    <mergeCell ref="AQ55:AQ61"/>
    <mergeCell ref="AS55:AU55"/>
    <mergeCell ref="AS56:AU56"/>
    <mergeCell ref="AS57:AU57"/>
    <mergeCell ref="AS58:AU58"/>
    <mergeCell ref="AS59:AU59"/>
    <mergeCell ref="AO29:AQ29"/>
    <mergeCell ref="AO25:AQ25"/>
    <mergeCell ref="AQ35:AQ45"/>
    <mergeCell ref="AQ46:AU46"/>
    <mergeCell ref="AT31:AV31"/>
    <mergeCell ref="AT32:AV32"/>
    <mergeCell ref="AO28:AQ28"/>
    <mergeCell ref="AT29:AV29"/>
    <mergeCell ref="AT30:AV30"/>
    <mergeCell ref="AO30:AQ30"/>
    <mergeCell ref="AO31:AQ31"/>
    <mergeCell ref="AS61:AU61"/>
    <mergeCell ref="W14:Z14"/>
    <mergeCell ref="W25:Z25"/>
    <mergeCell ref="AM6:AM15"/>
    <mergeCell ref="AM16:AQ16"/>
    <mergeCell ref="AM17:AM24"/>
    <mergeCell ref="AS60:AU60"/>
    <mergeCell ref="AM25:AM31"/>
    <mergeCell ref="AO26:AQ26"/>
    <mergeCell ref="AO27:AQ27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12" sqref="F12"/>
    </sheetView>
  </sheetViews>
  <sheetFormatPr defaultColWidth="9.00390625" defaultRowHeight="16.5"/>
  <cols>
    <col min="1" max="1" width="4.75390625" style="254" customWidth="1"/>
    <col min="2" max="6" width="18.00390625" style="254" customWidth="1"/>
    <col min="7" max="16384" width="9.00390625" style="254" customWidth="1"/>
  </cols>
  <sheetData>
    <row r="1" spans="1:6" ht="50.25" customHeight="1" thickBot="1">
      <c r="A1" s="492" t="s">
        <v>263</v>
      </c>
      <c r="B1" s="492"/>
      <c r="C1" s="492"/>
      <c r="D1" s="492"/>
      <c r="E1" s="492"/>
      <c r="F1" s="492"/>
    </row>
    <row r="2" spans="1:6" s="215" customFormat="1" ht="18" customHeight="1">
      <c r="A2" s="255" t="s">
        <v>34</v>
      </c>
      <c r="B2" s="256" t="s">
        <v>35</v>
      </c>
      <c r="C2" s="256" t="s">
        <v>36</v>
      </c>
      <c r="D2" s="256" t="s">
        <v>37</v>
      </c>
      <c r="E2" s="256" t="s">
        <v>38</v>
      </c>
      <c r="F2" s="257" t="s">
        <v>39</v>
      </c>
    </row>
    <row r="3" spans="1:13" s="215" customFormat="1" ht="18" customHeight="1">
      <c r="A3" s="258" t="s">
        <v>40</v>
      </c>
      <c r="B3" s="259"/>
      <c r="C3" s="259"/>
      <c r="D3" s="259" t="s">
        <v>274</v>
      </c>
      <c r="E3" s="259">
        <f>'第一周'!W2</f>
        <v>45078</v>
      </c>
      <c r="F3" s="260">
        <f>'第一周'!AD2</f>
        <v>45079</v>
      </c>
      <c r="K3" s="259">
        <v>45075</v>
      </c>
      <c r="L3" s="259">
        <v>45076</v>
      </c>
      <c r="M3" s="259">
        <v>45077</v>
      </c>
    </row>
    <row r="4" spans="1:13" s="264" customFormat="1" ht="51" customHeight="1">
      <c r="A4" s="279" t="s">
        <v>10</v>
      </c>
      <c r="B4" s="280"/>
      <c r="C4" s="280"/>
      <c r="D4" s="280" t="str">
        <f>'第三周'!AJ6</f>
        <v>香菇雞麵線 / 水果</v>
      </c>
      <c r="E4" s="280" t="str">
        <f>'第一周'!V6</f>
        <v>吐司夾洋蔥肉片  /水果</v>
      </c>
      <c r="F4" s="281" t="str">
        <f>'第一周'!AC6</f>
        <v>瓠瓜肉絲粥</v>
      </c>
      <c r="K4" s="280" t="s">
        <v>269</v>
      </c>
      <c r="L4" s="280" t="s">
        <v>270</v>
      </c>
      <c r="M4" s="280" t="s">
        <v>271</v>
      </c>
    </row>
    <row r="5" spans="1:13" s="264" customFormat="1" ht="51" customHeight="1">
      <c r="A5" s="265" t="s">
        <v>12</v>
      </c>
      <c r="B5" s="266"/>
      <c r="C5" s="266"/>
      <c r="D5" s="266" t="str">
        <f>'第三周'!AJ17</f>
        <v>紅豆紫米鮮奶</v>
      </c>
      <c r="E5" s="266" t="str">
        <f>'第一周'!V17</f>
        <v>小餐包   /   鮮奶米漿</v>
      </c>
      <c r="F5" s="267" t="str">
        <f>'第一周'!AC17</f>
        <v>水果優格 </v>
      </c>
      <c r="K5" s="266" t="s">
        <v>272</v>
      </c>
      <c r="L5" s="266" t="s">
        <v>273</v>
      </c>
      <c r="M5" s="266" t="s">
        <v>272</v>
      </c>
    </row>
    <row r="6" spans="1:6" s="264" customFormat="1" ht="18" customHeight="1">
      <c r="A6" s="258" t="s">
        <v>40</v>
      </c>
      <c r="B6" s="259">
        <f>'第二周'!B2</f>
        <v>45082</v>
      </c>
      <c r="C6" s="259">
        <f>B6+1</f>
        <v>45083</v>
      </c>
      <c r="D6" s="259">
        <f>C6+1</f>
        <v>45084</v>
      </c>
      <c r="E6" s="259">
        <f>D6+1</f>
        <v>45085</v>
      </c>
      <c r="F6" s="260">
        <f>E6+1</f>
        <v>45086</v>
      </c>
    </row>
    <row r="7" spans="1:6" s="264" customFormat="1" ht="51" customHeight="1">
      <c r="A7" s="279" t="s">
        <v>23</v>
      </c>
      <c r="B7" s="280" t="str">
        <f>'第二周'!A6</f>
        <v>饅頭蔬菜蛋 / 鮮奶</v>
      </c>
      <c r="C7" s="280" t="str">
        <f>'第二周'!H6</f>
        <v>肉絲湯麵</v>
      </c>
      <c r="D7" s="280" t="str">
        <f>'第二周'!O6</f>
        <v>玉米肉絲炒飯</v>
      </c>
      <c r="E7" s="280" t="str">
        <f>'第二周'!V6</f>
        <v>鮪魚蛋餅 / 優酪乳</v>
      </c>
      <c r="F7" s="281" t="str">
        <f>'第二周'!AC6</f>
        <v>海鮮炒烏龍麵</v>
      </c>
    </row>
    <row r="8" spans="1:6" s="264" customFormat="1" ht="51" customHeight="1">
      <c r="A8" s="265" t="s">
        <v>41</v>
      </c>
      <c r="B8" s="266" t="str">
        <f>'第二周'!A18</f>
        <v>銀魚莧菜麵羹</v>
      </c>
      <c r="C8" s="266" t="str">
        <f>'第二周'!H18</f>
        <v>水果拼盤  /  鮮奶</v>
      </c>
      <c r="D8" s="266" t="str">
        <f>'第二周'!O18</f>
        <v>自製水果奶酪</v>
      </c>
      <c r="E8" s="266" t="str">
        <f>'第二周'!V18</f>
        <v>絲瓜麵線 / 水果</v>
      </c>
      <c r="F8" s="267" t="str">
        <f>'第二周'!AC18</f>
        <v>水果拼盤  / 鮮奶</v>
      </c>
    </row>
    <row r="9" spans="1:6" s="264" customFormat="1" ht="18" customHeight="1">
      <c r="A9" s="258" t="s">
        <v>40</v>
      </c>
      <c r="B9" s="259">
        <f>'第三周'!B2</f>
        <v>45089</v>
      </c>
      <c r="C9" s="259">
        <f>B9+1</f>
        <v>45090</v>
      </c>
      <c r="D9" s="259">
        <f>C9+1</f>
        <v>45091</v>
      </c>
      <c r="E9" s="259">
        <f>D9+1</f>
        <v>45092</v>
      </c>
      <c r="F9" s="260">
        <f>E9+1</f>
        <v>45093</v>
      </c>
    </row>
    <row r="10" spans="1:6" s="264" customFormat="1" ht="51" customHeight="1">
      <c r="A10" s="279" t="s">
        <v>23</v>
      </c>
      <c r="B10" s="280" t="str">
        <f>'第三周'!A6</f>
        <v>蔥油餅加蛋  /  豆漿</v>
      </c>
      <c r="C10" s="280" t="str">
        <f>'第三周'!H6</f>
        <v>炒粄條</v>
      </c>
      <c r="D10" s="280" t="str">
        <f>'第三周'!O6</f>
        <v>酸辣湯麵</v>
      </c>
      <c r="E10" s="280" t="str">
        <f>'第三周'!V6</f>
        <v>吻仔魚粥</v>
      </c>
      <c r="F10" s="281" t="str">
        <f>'第三周'!AC6</f>
        <v>蘿蔔糕湯</v>
      </c>
    </row>
    <row r="11" spans="1:6" s="264" customFormat="1" ht="51" customHeight="1">
      <c r="A11" s="265" t="s">
        <v>41</v>
      </c>
      <c r="B11" s="266" t="str">
        <f>'第三周'!A17</f>
        <v>濃湯義大利麵</v>
      </c>
      <c r="C11" s="266" t="str">
        <f>'第三周'!H17</f>
        <v>牛奶脆片  /  水果</v>
      </c>
      <c r="D11" s="266" t="str">
        <f>'第三周'!O17</f>
        <v>水果拼盤  / 鮮奶</v>
      </c>
      <c r="E11" s="266" t="str">
        <f>'第三周'!V17</f>
        <v>自製鮮奶布丁(加水果)</v>
      </c>
      <c r="F11" s="267" t="str">
        <f>'第三周'!AC17</f>
        <v>水果拼盤  / 鮮奶</v>
      </c>
    </row>
    <row r="12" spans="1:6" s="264" customFormat="1" ht="18" customHeight="1">
      <c r="A12" s="258" t="s">
        <v>40</v>
      </c>
      <c r="B12" s="259">
        <f>'第四周'!B2</f>
        <v>45096</v>
      </c>
      <c r="C12" s="259">
        <f>B12+1</f>
        <v>45097</v>
      </c>
      <c r="D12" s="259">
        <f>C12+1</f>
        <v>45098</v>
      </c>
      <c r="E12" s="259">
        <f>D12+1</f>
        <v>45099</v>
      </c>
      <c r="F12" s="260">
        <f>E12+1</f>
        <v>45100</v>
      </c>
    </row>
    <row r="13" spans="1:6" s="264" customFormat="1" ht="51" customHeight="1">
      <c r="A13" s="279" t="s">
        <v>23</v>
      </c>
      <c r="B13" s="280" t="str">
        <f>'第四周'!A6</f>
        <v>水煎包   /   米漿鮮奶</v>
      </c>
      <c r="C13" s="280" t="str">
        <f>'第四周'!H6</f>
        <v>蒜頭蛤蠣麵</v>
      </c>
      <c r="D13" s="280" t="str">
        <f>'第四周'!O6</f>
        <v>絲瓜稀飯</v>
      </c>
      <c r="E13" s="280" t="str">
        <f>'第四周'!V6</f>
        <v>餛飩麵</v>
      </c>
      <c r="F13" s="281" t="str">
        <f>'第四周'!AC6</f>
        <v>肉片刈包 / 優酪乳</v>
      </c>
    </row>
    <row r="14" spans="1:6" s="264" customFormat="1" ht="51" customHeight="1">
      <c r="A14" s="265" t="s">
        <v>41</v>
      </c>
      <c r="B14" s="266" t="str">
        <f>'第四周'!A17</f>
        <v>赤肉麵線</v>
      </c>
      <c r="C14" s="266" t="str">
        <f>'第四周'!H17</f>
        <v>水果拼盤 / 鮮奶</v>
      </c>
      <c r="D14" s="266" t="str">
        <f>'第四周'!O17</f>
        <v>紅豆湯圓牛奶</v>
      </c>
      <c r="E14" s="266" t="str">
        <f>'第四周'!V17</f>
        <v>水果拼盤  / 鮮奶</v>
      </c>
      <c r="F14" s="267" t="str">
        <f>'第四周'!AC17</f>
        <v>自製水果凍</v>
      </c>
    </row>
    <row r="15" spans="1:6" s="264" customFormat="1" ht="18" customHeight="1">
      <c r="A15" s="258" t="s">
        <v>40</v>
      </c>
      <c r="B15" s="259">
        <f>B12+7</f>
        <v>45103</v>
      </c>
      <c r="C15" s="259">
        <f>B15+1</f>
        <v>45104</v>
      </c>
      <c r="D15" s="259">
        <f>C15+1</f>
        <v>45105</v>
      </c>
      <c r="E15" s="259">
        <f>D15+1</f>
        <v>45106</v>
      </c>
      <c r="F15" s="260">
        <f>E15+1</f>
        <v>45107</v>
      </c>
    </row>
    <row r="16" spans="1:6" s="264" customFormat="1" ht="51" customHeight="1">
      <c r="A16" s="279" t="s">
        <v>23</v>
      </c>
      <c r="B16" s="280" t="str">
        <f>'第五周'!A6</f>
        <v>鮮肉包   /   豆漿鮮奶</v>
      </c>
      <c r="C16" s="280" t="str">
        <f>'第五周'!H6</f>
        <v>海鮮炒麵</v>
      </c>
      <c r="D16" s="280" t="str">
        <f>'第五周'!O6</f>
        <v>瓠瓜魚片粥</v>
      </c>
      <c r="E16" s="280" t="str">
        <f>'第五周'!V6</f>
        <v>雞絲蛋餅</v>
      </c>
      <c r="F16" s="281" t="str">
        <f>'第五周'!AC6</f>
        <v>大滷麵</v>
      </c>
    </row>
    <row r="17" spans="1:6" s="264" customFormat="1" ht="51" customHeight="1" thickBot="1">
      <c r="A17" s="268" t="s">
        <v>41</v>
      </c>
      <c r="B17" s="269" t="str">
        <f>'第五周'!A18</f>
        <v>玉米濃湯    </v>
      </c>
      <c r="C17" s="269" t="str">
        <f>'第五周'!H18</f>
        <v>香蕉優格</v>
      </c>
      <c r="D17" s="269" t="str">
        <f>'第五周'!O18</f>
        <v>水果拼盤  /  鮮奶</v>
      </c>
      <c r="E17" s="269" t="str">
        <f>'第五周'!V18</f>
        <v>綠豆牛奶 / 水果</v>
      </c>
      <c r="F17" s="270" t="str">
        <f>'第五周'!AC18</f>
        <v>水果拼盤  /  鮮奶</v>
      </c>
    </row>
    <row r="18" spans="1:6" s="264" customFormat="1" ht="18" customHeight="1" hidden="1">
      <c r="A18" s="271" t="s">
        <v>40</v>
      </c>
      <c r="B18" s="272">
        <f>B15+7-30</f>
        <v>45080</v>
      </c>
      <c r="C18" s="272">
        <f>B18+1</f>
        <v>45081</v>
      </c>
      <c r="D18" s="272">
        <f>C18+1</f>
        <v>45082</v>
      </c>
      <c r="E18" s="272">
        <f>D18+1</f>
        <v>45083</v>
      </c>
      <c r="F18" s="273">
        <f>E18+1</f>
        <v>45084</v>
      </c>
    </row>
    <row r="19" spans="1:6" s="264" customFormat="1" ht="51" customHeight="1" hidden="1">
      <c r="A19" s="261" t="s">
        <v>23</v>
      </c>
      <c r="B19" s="262" t="e">
        <f>#REF!</f>
        <v>#REF!</v>
      </c>
      <c r="C19" s="262" t="e">
        <f>#REF!</f>
        <v>#REF!</v>
      </c>
      <c r="D19" s="262" t="e">
        <f>#REF!</f>
        <v>#REF!</v>
      </c>
      <c r="E19" s="262" t="e">
        <f>#REF!</f>
        <v>#REF!</v>
      </c>
      <c r="F19" s="263" t="e">
        <f>#REF!</f>
        <v>#REF!</v>
      </c>
    </row>
    <row r="20" spans="1:6" s="264" customFormat="1" ht="51" customHeight="1" hidden="1">
      <c r="A20" s="265" t="s">
        <v>41</v>
      </c>
      <c r="B20" s="266" t="e">
        <f>#REF!</f>
        <v>#REF!</v>
      </c>
      <c r="C20" s="266" t="e">
        <f>#REF!</f>
        <v>#REF!</v>
      </c>
      <c r="D20" s="266" t="e">
        <f>#REF!</f>
        <v>#REF!</v>
      </c>
      <c r="E20" s="266" t="e">
        <f>#REF!</f>
        <v>#REF!</v>
      </c>
      <c r="F20" s="267" t="e">
        <f>#REF!</f>
        <v>#REF!</v>
      </c>
    </row>
    <row r="21" spans="1:6" s="264" customFormat="1" ht="18" customHeight="1" hidden="1">
      <c r="A21" s="258" t="s">
        <v>40</v>
      </c>
      <c r="B21" s="274">
        <f>B18+7</f>
        <v>45087</v>
      </c>
      <c r="C21" s="274">
        <f>B21+1</f>
        <v>45088</v>
      </c>
      <c r="D21" s="274"/>
      <c r="E21" s="274"/>
      <c r="F21" s="275"/>
    </row>
    <row r="22" spans="1:6" s="264" customFormat="1" ht="51" customHeight="1" hidden="1">
      <c r="A22" s="261" t="s">
        <v>23</v>
      </c>
      <c r="B22" s="262" t="e">
        <f>#REF!</f>
        <v>#REF!</v>
      </c>
      <c r="C22" s="262" t="e">
        <f>#REF!</f>
        <v>#REF!</v>
      </c>
      <c r="D22" s="262"/>
      <c r="E22" s="262"/>
      <c r="F22" s="263"/>
    </row>
    <row r="23" spans="1:6" s="264" customFormat="1" ht="51" customHeight="1" hidden="1" thickBot="1">
      <c r="A23" s="268" t="s">
        <v>41</v>
      </c>
      <c r="B23" s="269" t="e">
        <f>#REF!</f>
        <v>#REF!</v>
      </c>
      <c r="C23" s="269" t="e">
        <f>#REF!</f>
        <v>#REF!</v>
      </c>
      <c r="D23" s="269"/>
      <c r="E23" s="269"/>
      <c r="F23" s="270"/>
    </row>
    <row r="24" spans="1:6" s="215" customFormat="1" ht="27.75" customHeight="1">
      <c r="A24" s="493" t="s">
        <v>170</v>
      </c>
      <c r="B24" s="493"/>
      <c r="C24" s="493"/>
      <c r="D24" s="493"/>
      <c r="E24" s="493"/>
      <c r="F24" s="493"/>
    </row>
  </sheetData>
  <sheetProtection/>
  <mergeCells count="2">
    <mergeCell ref="A1:F1"/>
    <mergeCell ref="A24:F24"/>
  </mergeCells>
  <printOptions/>
  <pageMargins left="0.3937007874015748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stf103</dc:creator>
  <cp:keywords/>
  <dc:description/>
  <cp:lastModifiedBy>user</cp:lastModifiedBy>
  <cp:lastPrinted>2023-06-03T00:54:53Z</cp:lastPrinted>
  <dcterms:created xsi:type="dcterms:W3CDTF">2014-08-13T02:32:12Z</dcterms:created>
  <dcterms:modified xsi:type="dcterms:W3CDTF">2023-06-06T07:37:26Z</dcterms:modified>
  <cp:category/>
  <cp:version/>
  <cp:contentType/>
  <cp:contentStatus/>
</cp:coreProperties>
</file>