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480" activeTab="4"/>
  </bookViews>
  <sheets>
    <sheet name="第一周" sheetId="1" r:id="rId1"/>
    <sheet name="第二週" sheetId="2" r:id="rId2"/>
    <sheet name="第三周 " sheetId="3" r:id="rId3"/>
    <sheet name="第四周" sheetId="4" r:id="rId4"/>
    <sheet name="第五周" sheetId="5" r:id="rId5"/>
    <sheet name="總表" sheetId="6" r:id="rId6"/>
  </sheets>
  <externalReferences>
    <externalReference r:id="rId9"/>
    <externalReference r:id="rId10"/>
    <externalReference r:id="rId11"/>
  </externalReferences>
  <definedNames>
    <definedName name="_xlnm.Print_Area" localSheetId="0">'第一周'!$A$1:$AI$35</definedName>
    <definedName name="_xlnm.Print_Area" localSheetId="1">'第二週'!$A$1:$AI$35</definedName>
    <definedName name="_xlnm.Print_Area" localSheetId="2">'第三周 '!$A$1:$AI$35</definedName>
    <definedName name="_xlnm.Print_Area" localSheetId="4">'第五周'!$A$1:$AI$35</definedName>
    <definedName name="_xlnm.Print_Area" localSheetId="3">'第四周'!$A$1:$AN$35</definedName>
  </definedNames>
  <calcPr fullCalcOnLoad="1"/>
</workbook>
</file>

<file path=xl/sharedStrings.xml><?xml version="1.0" encoding="utf-8"?>
<sst xmlns="http://schemas.openxmlformats.org/spreadsheetml/2006/main" count="1388" uniqueCount="286">
  <si>
    <t>K</t>
  </si>
  <si>
    <t>高麗菜</t>
  </si>
  <si>
    <t>K</t>
  </si>
  <si>
    <t>青蔥</t>
  </si>
  <si>
    <t>上午</t>
  </si>
  <si>
    <t>星期二</t>
  </si>
  <si>
    <t>星期三</t>
  </si>
  <si>
    <t>星期四</t>
  </si>
  <si>
    <t>星期五</t>
  </si>
  <si>
    <t>星期一</t>
  </si>
  <si>
    <t>星期</t>
  </si>
  <si>
    <t>下午</t>
  </si>
  <si>
    <t>日期</t>
  </si>
  <si>
    <t>白油麵</t>
  </si>
  <si>
    <t>統一鮮奶2L</t>
  </si>
  <si>
    <t>統一鮮奶(低脂2L</t>
  </si>
  <si>
    <t>原味優格(福樂</t>
  </si>
  <si>
    <t>個</t>
  </si>
  <si>
    <t>綠巨人玉米粒(311G)</t>
  </si>
  <si>
    <t>無籽葡萄</t>
  </si>
  <si>
    <t>芭樂</t>
  </si>
  <si>
    <t>罐</t>
  </si>
  <si>
    <t>包</t>
  </si>
  <si>
    <t>庫</t>
  </si>
  <si>
    <t>鮮奶2L</t>
  </si>
  <si>
    <t>盒</t>
  </si>
  <si>
    <t>洋蔥</t>
  </si>
  <si>
    <t>菜名</t>
  </si>
  <si>
    <t>食材</t>
  </si>
  <si>
    <t>1人</t>
  </si>
  <si>
    <t>數量</t>
  </si>
  <si>
    <t>單位</t>
  </si>
  <si>
    <t>單價</t>
  </si>
  <si>
    <t>成本</t>
  </si>
  <si>
    <t>小米飯</t>
  </si>
  <si>
    <t>糙米飯</t>
  </si>
  <si>
    <t>特餐</t>
  </si>
  <si>
    <t>十穀飯</t>
  </si>
  <si>
    <t>中秋特餐/韓式燒肉飯</t>
  </si>
  <si>
    <t>上午</t>
  </si>
  <si>
    <t>洋蔥去皮</t>
  </si>
  <si>
    <t>洗選蛋</t>
  </si>
  <si>
    <t>下午</t>
  </si>
  <si>
    <t>水果拼盤 / 鮮奶</t>
  </si>
  <si>
    <t>八寶甜湯</t>
  </si>
  <si>
    <t>紅豆0.2k</t>
  </si>
  <si>
    <t>水果拼盤  / 鮮奶</t>
  </si>
  <si>
    <t>木瓜</t>
  </si>
  <si>
    <t>十榖米0.2k</t>
  </si>
  <si>
    <t>葡萄</t>
  </si>
  <si>
    <t>麥片0.2k</t>
  </si>
  <si>
    <t>小米0.2k</t>
  </si>
  <si>
    <t>罐</t>
  </si>
  <si>
    <t>綠豆0.2k</t>
  </si>
  <si>
    <t>二砂糖</t>
  </si>
  <si>
    <t xml:space="preserve">營養師：                                                       學務主任：                                                        校長：                                </t>
  </si>
  <si>
    <t>顆</t>
  </si>
  <si>
    <t>刈包夾鮪魚蛋   /   豆漿</t>
  </si>
  <si>
    <t>刈包</t>
  </si>
  <si>
    <t>顆</t>
  </si>
  <si>
    <t>鮪魚罐小</t>
  </si>
  <si>
    <t>蔥</t>
  </si>
  <si>
    <t>光泉低糖豆漿2L</t>
  </si>
  <si>
    <t>大蘋果</t>
  </si>
  <si>
    <t>玉米粒綠巨人</t>
  </si>
  <si>
    <t>片</t>
  </si>
  <si>
    <t>杯</t>
  </si>
  <si>
    <r>
      <t xml:space="preserve">                                                                      </t>
    </r>
    <r>
      <rPr>
        <b/>
        <sz val="12"/>
        <rFont val="微軟正黑體"/>
        <family val="2"/>
      </rPr>
      <t xml:space="preserve">幼兒園主任： </t>
    </r>
  </si>
  <si>
    <t>黃油麵</t>
  </si>
  <si>
    <t>火龍果</t>
  </si>
  <si>
    <t>紅蘿蔔</t>
  </si>
  <si>
    <t>紅蘿蔔</t>
  </si>
  <si>
    <t>小木耳</t>
  </si>
  <si>
    <t>洋蔥</t>
  </si>
  <si>
    <t>紅蔥頭</t>
  </si>
  <si>
    <t>吐司(長)</t>
  </si>
  <si>
    <t>條</t>
  </si>
  <si>
    <t>生香菇</t>
  </si>
  <si>
    <t>生香菇</t>
  </si>
  <si>
    <t>薑片</t>
  </si>
  <si>
    <t>有機核桃蔓越莓麥片</t>
  </si>
  <si>
    <t>(米森家樂福450g)</t>
  </si>
  <si>
    <t>水果牛奶麥片</t>
  </si>
  <si>
    <t>香蕉</t>
  </si>
  <si>
    <t>根</t>
  </si>
  <si>
    <t>山藥</t>
  </si>
  <si>
    <t>金針菇</t>
  </si>
  <si>
    <t>香菇</t>
  </si>
  <si>
    <t>西芹</t>
  </si>
  <si>
    <t>乾香菇</t>
  </si>
  <si>
    <t>營養分析</t>
  </si>
  <si>
    <t>全穀雜糧類(份)</t>
  </si>
  <si>
    <t>豆魚蛋肉類(份)</t>
  </si>
  <si>
    <t>油脂與堅果種子(份)</t>
  </si>
  <si>
    <t>油脂與堅果種子(份)</t>
  </si>
  <si>
    <t>蔬菜類(份)</t>
  </si>
  <si>
    <t>水果類(份)</t>
  </si>
  <si>
    <t>奶類(份)</t>
  </si>
  <si>
    <t>總熱量(大卡)</t>
  </si>
  <si>
    <t>食材</t>
  </si>
  <si>
    <t>水果拼盤  /  鮮奶</t>
  </si>
  <si>
    <t>櫻花蝦蛋炒飯</t>
  </si>
  <si>
    <t>小香菇</t>
  </si>
  <si>
    <t>紅蔥頭0.2</t>
  </si>
  <si>
    <t>櫻花蝦</t>
  </si>
  <si>
    <t>櫻花蝦前一天先進</t>
  </si>
  <si>
    <t>低脂肉絲cas(1K)</t>
  </si>
  <si>
    <t>大白菜</t>
  </si>
  <si>
    <t>低脂絞肉(0.5K)</t>
  </si>
  <si>
    <t>統一優酪乳(約2公升)</t>
  </si>
  <si>
    <t>茭白筍去殼</t>
  </si>
  <si>
    <t>皎白筍肉絲粥</t>
  </si>
  <si>
    <t>低脂肉絲cas庫0.5</t>
  </si>
  <si>
    <t>白米2.4k</t>
  </si>
  <si>
    <t>綠豆芽</t>
  </si>
  <si>
    <t>韭菜</t>
  </si>
  <si>
    <t>港式蘿蔔糕1.2K</t>
  </si>
  <si>
    <t>紅蔥頭(庫1.2K</t>
  </si>
  <si>
    <t>蘿蔔糕湯</t>
  </si>
  <si>
    <t>低脂絞肉庫0.5</t>
  </si>
  <si>
    <t>木耳朵</t>
  </si>
  <si>
    <t>紅蔥頭(0.2K</t>
  </si>
  <si>
    <t>炒粄條</t>
  </si>
  <si>
    <t>中華盒裝豆腐</t>
  </si>
  <si>
    <t>木耳絲</t>
  </si>
  <si>
    <t>鍋貼 / 優酪乳</t>
  </si>
  <si>
    <t xml:space="preserve">水果優格 </t>
  </si>
  <si>
    <t>綠豆</t>
  </si>
  <si>
    <r>
      <rPr>
        <sz val="12"/>
        <color indexed="8"/>
        <rFont val="微軟正黑體"/>
        <family val="2"/>
      </rPr>
      <t>庫</t>
    </r>
  </si>
  <si>
    <r>
      <rPr>
        <sz val="12"/>
        <color indexed="8"/>
        <rFont val="微軟正黑體"/>
        <family val="2"/>
      </rPr>
      <t>包</t>
    </r>
  </si>
  <si>
    <t>小黃瓜</t>
  </si>
  <si>
    <t>(小黃瓜切片燙熟)</t>
  </si>
  <si>
    <t>什錦炒麵</t>
  </si>
  <si>
    <t>低脂肉絲1K</t>
  </si>
  <si>
    <t>山藥濃湯</t>
  </si>
  <si>
    <t>低脂肉絲(1k庫</t>
  </si>
  <si>
    <t>袖珍菇</t>
  </si>
  <si>
    <t>雞胸片</t>
  </si>
  <si>
    <t>白麵</t>
  </si>
  <si>
    <t>麻油雞湯麵</t>
  </si>
  <si>
    <t>什錦炒年糕</t>
  </si>
  <si>
    <t>寧波年糕</t>
  </si>
  <si>
    <r>
      <rPr>
        <sz val="12"/>
        <rFont val="標楷體"/>
        <family val="4"/>
      </rPr>
      <t>低脂絞肉</t>
    </r>
    <r>
      <rPr>
        <sz val="12"/>
        <rFont val="Times New Roman"/>
        <family val="1"/>
      </rPr>
      <t>0.5K</t>
    </r>
  </si>
  <si>
    <t>海鮮粥</t>
  </si>
  <si>
    <t>冷凍鯛魚丁(產銷)</t>
  </si>
  <si>
    <t>小白菜</t>
  </si>
  <si>
    <t>薑絲</t>
  </si>
  <si>
    <t>蚵仔</t>
  </si>
  <si>
    <t>白米1.8k</t>
  </si>
  <si>
    <t>大滷麵</t>
  </si>
  <si>
    <t>中華豆腐</t>
  </si>
  <si>
    <r>
      <t>紅蔥頭</t>
    </r>
  </si>
  <si>
    <t>低脂肉絲cas0.6</t>
  </si>
  <si>
    <t>香蕉優格</t>
  </si>
  <si>
    <t>(奇美)</t>
  </si>
  <si>
    <t xml:space="preserve">玉米濃湯    </t>
  </si>
  <si>
    <t>馬鈴薯</t>
  </si>
  <si>
    <t>玉米醬綠巨人</t>
  </si>
  <si>
    <t>洗選蛋(貼標)</t>
  </si>
  <si>
    <t>鮮香菇</t>
  </si>
  <si>
    <t>吻仔魚</t>
  </si>
  <si>
    <r>
      <rPr>
        <sz val="12"/>
        <color indexed="8"/>
        <rFont val="微軟正黑體"/>
        <family val="2"/>
      </rPr>
      <t>盒</t>
    </r>
  </si>
  <si>
    <t>紅蔥頭</t>
  </si>
  <si>
    <t>白米2.4K</t>
  </si>
  <si>
    <t>低糖豆漿2L</t>
  </si>
  <si>
    <t>吐司(短)</t>
  </si>
  <si>
    <t>20g*40入/包</t>
  </si>
  <si>
    <t>小白饅頭</t>
  </si>
  <si>
    <t>里肌豬排75g</t>
  </si>
  <si>
    <t>【本校一律使用國產豬、牛肉食材】</t>
  </si>
  <si>
    <t>紅豆</t>
  </si>
  <si>
    <t>瓜瓜園地瓜珍珠圓</t>
  </si>
  <si>
    <t>紅豆地瓜圓牛奶</t>
  </si>
  <si>
    <t>甜柿</t>
  </si>
  <si>
    <t>清雞肉</t>
  </si>
  <si>
    <t>麻油</t>
  </si>
  <si>
    <t>麻油蛋麵線</t>
  </si>
  <si>
    <t>三環麵線0.6K</t>
  </si>
  <si>
    <t>柳丁</t>
  </si>
  <si>
    <t>肉絲麵線</t>
  </si>
  <si>
    <t>紅麵線</t>
  </si>
  <si>
    <t>真空綠竹筍</t>
  </si>
  <si>
    <t>蒜泥</t>
  </si>
  <si>
    <t>低脂肉絲cas</t>
  </si>
  <si>
    <t>柴魚片600g</t>
  </si>
  <si>
    <t>芋頭西米露 / 水果</t>
  </si>
  <si>
    <t>芋頭去皮</t>
  </si>
  <si>
    <t>西谷米</t>
  </si>
  <si>
    <t>二砂糖</t>
  </si>
  <si>
    <t>芋頭煮糊</t>
  </si>
  <si>
    <t>(煮稀,水放少以牛奶為主)</t>
  </si>
  <si>
    <t>豬排刈包</t>
  </si>
  <si>
    <t>蒜頭</t>
  </si>
  <si>
    <t>小白油麵</t>
  </si>
  <si>
    <r>
      <t>桂冠餛飩</t>
    </r>
    <r>
      <rPr>
        <sz val="12"/>
        <rFont val="Times New Roman"/>
        <family val="1"/>
      </rPr>
      <t>(12gx30</t>
    </r>
    <r>
      <rPr>
        <sz val="12"/>
        <rFont val="標楷體"/>
        <family val="4"/>
      </rPr>
      <t>入</t>
    </r>
    <r>
      <rPr>
        <sz val="12"/>
        <rFont val="Times New Roman"/>
        <family val="1"/>
      </rPr>
      <t>)</t>
    </r>
  </si>
  <si>
    <t>餛飩湯</t>
  </si>
  <si>
    <t>海帶芽</t>
  </si>
  <si>
    <t>低脂肉絲</t>
  </si>
  <si>
    <t>香菇赤肉羹</t>
  </si>
  <si>
    <t>蒜末</t>
  </si>
  <si>
    <t>吻仔魚蛋炒飯</t>
  </si>
  <si>
    <t>麵線糊</t>
  </si>
  <si>
    <t>芝麻包   /   豆漿鮮奶</t>
  </si>
  <si>
    <t>芝麻包</t>
  </si>
  <si>
    <t>大水梨</t>
  </si>
  <si>
    <t>板條</t>
  </si>
  <si>
    <t>菠菜</t>
  </si>
  <si>
    <t>銀魚紫菜羹</t>
  </si>
  <si>
    <t>低脂絞肉(1K)</t>
  </si>
  <si>
    <t>玉米筍</t>
  </si>
  <si>
    <t>番茄醬(340G)</t>
  </si>
  <si>
    <t>牛番茄</t>
  </si>
  <si>
    <t>義式香料</t>
  </si>
  <si>
    <t>肉醬義大利麵</t>
  </si>
  <si>
    <t>地瓜去皮</t>
  </si>
  <si>
    <t>小湯圓(300/g)</t>
  </si>
  <si>
    <t xml:space="preserve">吐司夾高麗菜蛋   </t>
  </si>
  <si>
    <t>校外教學</t>
  </si>
  <si>
    <t>豆薯去皮</t>
  </si>
  <si>
    <t>巧好鍋貼</t>
  </si>
  <si>
    <t>義大利單色貝殼麵</t>
  </si>
  <si>
    <t>木瓜優格</t>
  </si>
  <si>
    <t>週午餐食譜設計表</t>
  </si>
  <si>
    <t>什錦炒米苔目</t>
  </si>
  <si>
    <t>米苔目</t>
  </si>
  <si>
    <t>綠豆芽</t>
  </si>
  <si>
    <t>韭菜</t>
  </si>
  <si>
    <t>紅豆牛奶  / 水果</t>
  </si>
  <si>
    <t>蓮霧</t>
  </si>
  <si>
    <t>水煎包   /   豆漿鮮奶</t>
  </si>
  <si>
    <t>熟水煎包</t>
  </si>
  <si>
    <t>(卡好)</t>
  </si>
  <si>
    <t>鮮奶1L</t>
  </si>
  <si>
    <t>僑愛國民小學111學年度上學期第</t>
  </si>
  <si>
    <t xml:space="preserve"> 僑愛國小幼兒園111年12月點心菜單</t>
  </si>
  <si>
    <t>饅頭夾蛋 / 豆米漿</t>
  </si>
  <si>
    <t>蒜頭蛤蠣雞湯麵</t>
  </si>
  <si>
    <t>雞腿丁</t>
  </si>
  <si>
    <t>蛤蠣</t>
  </si>
  <si>
    <t>小白拉麵</t>
  </si>
  <si>
    <t>低糖豆漿(1L)</t>
  </si>
  <si>
    <t>米漿(1L)</t>
  </si>
  <si>
    <t>綠豆麥片湯</t>
  </si>
  <si>
    <t>大麥片</t>
  </si>
  <si>
    <t>小番茄</t>
  </si>
  <si>
    <t>養樂多6罐</t>
  </si>
  <si>
    <t>統一鮮奶1L(低脂</t>
  </si>
  <si>
    <t>養樂多9罐</t>
  </si>
  <si>
    <t>蔥肉餡餅</t>
  </si>
  <si>
    <t>蔥肉餡餅  /  鮮奶米漿</t>
  </si>
  <si>
    <t>自然零優格(福樂</t>
  </si>
  <si>
    <t>酸辣湯麵</t>
  </si>
  <si>
    <t>低脂肉絲(0.5K)</t>
  </si>
  <si>
    <t>庫</t>
  </si>
  <si>
    <t>小木耳</t>
  </si>
  <si>
    <t>高麗菜</t>
  </si>
  <si>
    <t>中華盒裝豆腐</t>
  </si>
  <si>
    <t>金針菇</t>
  </si>
  <si>
    <t>洗選蛋(盒</t>
  </si>
  <si>
    <t>紅蔥頭(先送)</t>
  </si>
  <si>
    <t>麻油雞乾麵</t>
  </si>
  <si>
    <t>鮪魚蛋吐司 / 鮮奶</t>
  </si>
  <si>
    <t>鮪魚罐</t>
  </si>
  <si>
    <t>綠豆牛奶</t>
  </si>
  <si>
    <t>低糖豆漿1L</t>
  </si>
  <si>
    <t>水煎包   /   豆漿</t>
  </si>
  <si>
    <t>無糖豆漿</t>
  </si>
  <si>
    <t>米漿</t>
  </si>
  <si>
    <t>熟水餃</t>
  </si>
  <si>
    <t>水餃 / 豆米漿</t>
  </si>
  <si>
    <t>乾米粉</t>
  </si>
  <si>
    <r>
      <t>低脂肉絲</t>
    </r>
    <r>
      <rPr>
        <sz val="12"/>
        <rFont val="Times New Roman"/>
        <family val="1"/>
      </rPr>
      <t>cas</t>
    </r>
  </si>
  <si>
    <t>乾蝦米</t>
  </si>
  <si>
    <r>
      <t>香菇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小</t>
    </r>
    <r>
      <rPr>
        <sz val="12"/>
        <rFont val="Times New Roman"/>
        <family val="1"/>
      </rPr>
      <t>)</t>
    </r>
  </si>
  <si>
    <t>芋頭去皮</t>
  </si>
  <si>
    <t>綠豆芽菜</t>
  </si>
  <si>
    <t>芹菜</t>
  </si>
  <si>
    <t>蒜苗</t>
  </si>
  <si>
    <t>芋頭米粉湯</t>
  </si>
  <si>
    <t>香菇(小)</t>
  </si>
  <si>
    <t>港式蘿蔔糕</t>
  </si>
  <si>
    <t>蘿蔔糕炒蛋</t>
  </si>
  <si>
    <t>青花椰</t>
  </si>
  <si>
    <t>地瓜湯圓 / 水果</t>
  </si>
  <si>
    <t>香蕉(1切3)</t>
  </si>
  <si>
    <t>黃色小番茄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</si>
</sst>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(一)&quot;"/>
    <numFmt numFmtId="177" formatCode="m&quot;月&quot;d&quot;日(二)&quot;"/>
    <numFmt numFmtId="178" formatCode="m&quot;月&quot;d&quot;日(三)&quot;"/>
    <numFmt numFmtId="179" formatCode="m&quot;月&quot;d&quot;日(四)&quot;"/>
    <numFmt numFmtId="180" formatCode="m&quot;月&quot;d&quot;日(五)&quot;"/>
    <numFmt numFmtId="181" formatCode="0_);[Red]\(0\)"/>
    <numFmt numFmtId="182" formatCode="m/d"/>
    <numFmt numFmtId="183" formatCode="m&quot;月&quot;d&quot;日&quot;"/>
    <numFmt numFmtId="184" formatCode="m&quot;月&quot;d&quot;日(六)&quot;"/>
    <numFmt numFmtId="185" formatCode="mmm\-yyyy"/>
    <numFmt numFmtId="186" formatCode="0.0_ "/>
    <numFmt numFmtId="187" formatCode="0.000"/>
    <numFmt numFmtId="188" formatCode="0.0"/>
  </numFmts>
  <fonts count="72">
    <font>
      <sz val="12"/>
      <name val="新細明體"/>
      <family val="1"/>
    </font>
    <font>
      <sz val="10"/>
      <name val="Arial"/>
      <family val="2"/>
    </font>
    <font>
      <sz val="12"/>
      <name val="Times New Roman"/>
      <family val="1"/>
    </font>
    <font>
      <sz val="9"/>
      <name val="新細明體"/>
      <family val="1"/>
    </font>
    <font>
      <sz val="9"/>
      <name val="細明體"/>
      <family val="3"/>
    </font>
    <font>
      <sz val="20"/>
      <name val="微軟正黑體"/>
      <family val="2"/>
    </font>
    <font>
      <sz val="14"/>
      <name val="微軟正黑體"/>
      <family val="2"/>
    </font>
    <font>
      <sz val="12"/>
      <name val="微軟正黑體"/>
      <family val="2"/>
    </font>
    <font>
      <b/>
      <sz val="12"/>
      <name val="微軟正黑體"/>
      <family val="2"/>
    </font>
    <font>
      <b/>
      <sz val="14"/>
      <name val="微軟正黑體"/>
      <family val="2"/>
    </font>
    <font>
      <sz val="12"/>
      <color indexed="8"/>
      <name val="微軟正黑體"/>
      <family val="2"/>
    </font>
    <font>
      <b/>
      <sz val="16"/>
      <name val="微軟正黑體"/>
      <family val="2"/>
    </font>
    <font>
      <b/>
      <sz val="12"/>
      <color indexed="12"/>
      <name val="微軟正黑體"/>
      <family val="2"/>
    </font>
    <font>
      <sz val="12"/>
      <color indexed="12"/>
      <name val="微軟正黑體"/>
      <family val="2"/>
    </font>
    <font>
      <sz val="12"/>
      <color indexed="10"/>
      <name val="微軟正黑體"/>
      <family val="2"/>
    </font>
    <font>
      <sz val="10"/>
      <name val="微軟正黑體"/>
      <family val="2"/>
    </font>
    <font>
      <b/>
      <sz val="18"/>
      <name val="微軟正黑體"/>
      <family val="2"/>
    </font>
    <font>
      <sz val="18"/>
      <color indexed="12"/>
      <name val="微軟正黑體"/>
      <family val="2"/>
    </font>
    <font>
      <sz val="18"/>
      <name val="微軟正黑體"/>
      <family val="2"/>
    </font>
    <font>
      <sz val="14"/>
      <color indexed="12"/>
      <name val="微軟正黑體"/>
      <family val="2"/>
    </font>
    <font>
      <sz val="11"/>
      <name val="微軟正黑體"/>
      <family val="2"/>
    </font>
    <font>
      <sz val="11"/>
      <color indexed="8"/>
      <name val="微軟正黑體"/>
      <family val="2"/>
    </font>
    <font>
      <sz val="10"/>
      <color indexed="8"/>
      <name val="微軟正黑體"/>
      <family val="2"/>
    </font>
    <font>
      <b/>
      <sz val="16"/>
      <color indexed="12"/>
      <name val="微軟正黑體"/>
      <family val="2"/>
    </font>
    <font>
      <sz val="9"/>
      <color indexed="8"/>
      <name val="微軟正黑體"/>
      <family val="2"/>
    </font>
    <font>
      <sz val="12"/>
      <name val="標楷體"/>
      <family val="4"/>
    </font>
    <font>
      <sz val="12"/>
      <color indexed="8"/>
      <name val="Times New Roman"/>
      <family val="1"/>
    </font>
    <font>
      <b/>
      <sz val="13"/>
      <name val="微軟正黑體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7"/>
      <name val="新細明體"/>
      <family val="1"/>
    </font>
    <font>
      <b/>
      <sz val="15"/>
      <color indexed="57"/>
      <name val="新細明體"/>
      <family val="1"/>
    </font>
    <font>
      <b/>
      <sz val="13"/>
      <color indexed="57"/>
      <name val="新細明體"/>
      <family val="1"/>
    </font>
    <font>
      <b/>
      <sz val="11"/>
      <color indexed="57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9"/>
      <name val="微軟正黑體"/>
      <family val="2"/>
    </font>
    <font>
      <sz val="11"/>
      <color indexed="12"/>
      <name val="微軟正黑體"/>
      <family val="2"/>
    </font>
    <font>
      <b/>
      <sz val="12"/>
      <color indexed="10"/>
      <name val="微軟正黑體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微軟正黑體"/>
      <family val="2"/>
    </font>
    <font>
      <sz val="12"/>
      <color rgb="FF000000"/>
      <name val="微軟正黑體"/>
      <family val="2"/>
    </font>
    <font>
      <sz val="12"/>
      <color rgb="FFFF0000"/>
      <name val="微軟正黑體"/>
      <family val="2"/>
    </font>
    <font>
      <sz val="12"/>
      <color theme="0"/>
      <name val="微軟正黑體"/>
      <family val="2"/>
    </font>
    <font>
      <b/>
      <sz val="12"/>
      <color rgb="FF0000FF"/>
      <name val="微軟正黑體"/>
      <family val="2"/>
    </font>
    <font>
      <sz val="11"/>
      <color rgb="FF0000FF"/>
      <name val="微軟正黑體"/>
      <family val="2"/>
    </font>
    <font>
      <b/>
      <sz val="12"/>
      <color rgb="FFFF0000"/>
      <name val="微軟正黑體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/>
      <bottom style="thin">
        <color indexed="63"/>
      </bottom>
    </border>
    <border>
      <left style="thin">
        <color indexed="59"/>
      </left>
      <right/>
      <top style="medium"/>
      <bottom style="thin">
        <color indexed="59"/>
      </bottom>
    </border>
    <border>
      <left style="thin">
        <color indexed="59"/>
      </left>
      <right/>
      <top style="thin">
        <color indexed="59"/>
      </top>
      <bottom style="thin">
        <color indexed="59"/>
      </bottom>
    </border>
    <border>
      <left style="thin">
        <color indexed="59"/>
      </left>
      <right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9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59"/>
      </left>
      <right/>
      <top style="thin">
        <color indexed="59"/>
      </top>
      <bottom style="medium"/>
    </border>
    <border>
      <left style="thin">
        <color indexed="59"/>
      </left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/>
      <bottom style="medium"/>
    </border>
    <border>
      <left>
        <color indexed="63"/>
      </left>
      <right style="thin">
        <color indexed="59"/>
      </right>
      <top/>
      <bottom style="medium"/>
    </border>
    <border>
      <left>
        <color indexed="63"/>
      </left>
      <right style="medium"/>
      <top/>
      <bottom style="medium"/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/>
      <top style="thin">
        <color indexed="63"/>
      </top>
      <bottom style="thin"/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 style="medium"/>
      <bottom style="thin">
        <color indexed="59"/>
      </bottom>
    </border>
    <border>
      <left/>
      <right/>
      <top style="thin">
        <color indexed="59"/>
      </top>
      <bottom style="thin">
        <color indexed="59"/>
      </bottom>
    </border>
    <border>
      <left/>
      <right/>
      <top style="thin">
        <color indexed="59"/>
      </top>
      <bottom style="medium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/>
    </border>
    <border>
      <left style="thin">
        <color indexed="63"/>
      </left>
      <right style="thin"/>
      <top style="thin">
        <color indexed="63"/>
      </top>
      <bottom style="medium"/>
    </border>
    <border diagonalUp="1">
      <left/>
      <right/>
      <top style="thin">
        <color indexed="63"/>
      </top>
      <bottom style="thin">
        <color indexed="63"/>
      </bottom>
      <diagonal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medium"/>
    </border>
    <border>
      <left>
        <color indexed="63"/>
      </left>
      <right style="thin">
        <color indexed="59"/>
      </right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/>
      <right style="thin"/>
      <top style="medium"/>
      <bottom style="thin">
        <color indexed="59"/>
      </bottom>
    </border>
    <border>
      <left style="thin">
        <color indexed="59"/>
      </left>
      <right style="thin">
        <color indexed="59"/>
      </right>
      <top style="medium"/>
      <bottom/>
    </border>
    <border>
      <left style="thin">
        <color indexed="59"/>
      </left>
      <right>
        <color indexed="63"/>
      </right>
      <top style="medium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 style="medium"/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medium"/>
    </border>
    <border>
      <left style="thin"/>
      <right style="thin"/>
      <top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>
        <color indexed="59"/>
      </right>
      <top style="medium"/>
      <bottom style="thin">
        <color indexed="59"/>
      </bottom>
    </border>
    <border>
      <left style="medium"/>
      <right style="thin">
        <color indexed="59"/>
      </right>
      <top style="thin">
        <color indexed="59"/>
      </top>
      <bottom style="thin">
        <color indexed="59"/>
      </bottom>
    </border>
    <border>
      <left style="medium"/>
      <right style="thin">
        <color indexed="59"/>
      </right>
      <top style="thin">
        <color indexed="59"/>
      </top>
      <bottom style="medium"/>
    </border>
    <border>
      <left/>
      <right style="medium"/>
      <top style="medium"/>
      <bottom style="thin">
        <color indexed="59"/>
      </bottom>
    </border>
    <border>
      <left style="thin"/>
      <right style="thin">
        <color indexed="59"/>
      </right>
      <top style="medium"/>
      <bottom style="thin">
        <color indexed="59"/>
      </bottom>
    </border>
    <border>
      <left style="thin"/>
      <right style="thin">
        <color indexed="59"/>
      </right>
      <top style="thin">
        <color indexed="59"/>
      </top>
      <bottom style="thin">
        <color indexed="59"/>
      </bottom>
    </border>
    <border>
      <left style="thin"/>
      <right style="thin">
        <color indexed="59"/>
      </right>
      <top style="thin">
        <color indexed="59"/>
      </top>
      <bottom style="medium"/>
    </border>
    <border>
      <left/>
      <right style="thin"/>
      <top style="thin">
        <color indexed="59"/>
      </top>
      <bottom style="thin">
        <color indexed="59"/>
      </bottom>
    </border>
    <border>
      <left/>
      <right style="medium"/>
      <top style="thin">
        <color indexed="59"/>
      </top>
      <bottom style="thin">
        <color indexed="59"/>
      </bottom>
    </border>
    <border>
      <left/>
      <right style="thin"/>
      <top style="thin">
        <color indexed="59"/>
      </top>
      <bottom style="medium"/>
    </border>
    <border>
      <left/>
      <right style="medium"/>
      <top style="thin">
        <color indexed="59"/>
      </top>
      <bottom style="medium"/>
    </border>
    <border>
      <left style="thin"/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>
        <color indexed="63"/>
      </right>
      <top>
        <color indexed="63"/>
      </top>
      <bottom>
        <color indexed="63"/>
      </bottom>
    </border>
    <border>
      <left style="thin"/>
      <right style="thin">
        <color indexed="63"/>
      </right>
      <top>
        <color indexed="63"/>
      </top>
      <bottom style="thin"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>
        <color indexed="63"/>
      </bottom>
    </border>
    <border>
      <left style="thin">
        <color indexed="59"/>
      </left>
      <right style="medium"/>
      <top style="medium"/>
      <bottom>
        <color indexed="63"/>
      </bottom>
    </border>
    <border>
      <left style="thin"/>
      <right style="thin">
        <color indexed="59"/>
      </right>
      <top style="medium"/>
      <bottom/>
    </border>
    <border>
      <left style="thin"/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 style="thin"/>
      <top style="thin"/>
      <bottom>
        <color indexed="63"/>
      </bottom>
    </border>
    <border>
      <left style="thin"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 style="thin"/>
      <top style="thin"/>
      <bottom style="thin"/>
    </border>
    <border>
      <left style="thin"/>
      <right style="thin"/>
      <top style="thin">
        <color indexed="63"/>
      </top>
      <bottom style="thin"/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 style="thin"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 style="thin"/>
      <right style="thin"/>
      <top style="medium"/>
      <bottom style="thin">
        <color indexed="59"/>
      </bottom>
    </border>
    <border>
      <left style="thin"/>
      <right style="thin"/>
      <top style="thin">
        <color indexed="59"/>
      </top>
      <bottom style="thin">
        <color indexed="59"/>
      </bottom>
    </border>
    <border>
      <left style="thin"/>
      <right style="thin"/>
      <top style="thin">
        <color indexed="59"/>
      </top>
      <bottom style="medium"/>
    </border>
    <border>
      <left style="thin"/>
      <right style="thin"/>
      <top style="thin">
        <color indexed="63"/>
      </top>
      <bottom style="medium"/>
    </border>
  </borders>
  <cellStyleXfs count="7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0" fillId="20" borderId="0" applyNumberFormat="0" applyBorder="0" applyAlignment="0" applyProtection="0"/>
    <xf numFmtId="0" fontId="51" fillId="0" borderId="1" applyNumberFormat="0" applyFill="0" applyAlignment="0" applyProtection="0"/>
    <xf numFmtId="0" fontId="52" fillId="21" borderId="0" applyNumberFormat="0" applyBorder="0" applyAlignment="0" applyProtection="0"/>
    <xf numFmtId="9" fontId="1" fillId="0" borderId="0" applyFill="0" applyBorder="0" applyAlignment="0" applyProtection="0"/>
    <xf numFmtId="0" fontId="53" fillId="22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4" fillId="0" borderId="3" applyNumberFormat="0" applyFill="0" applyAlignment="0" applyProtection="0"/>
    <xf numFmtId="0" fontId="0" fillId="23" borderId="4" applyNumberFormat="0" applyFont="0" applyAlignment="0" applyProtection="0"/>
    <xf numFmtId="0" fontId="55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2" applyNumberFormat="0" applyAlignment="0" applyProtection="0"/>
    <xf numFmtId="0" fontId="61" fillId="22" borderId="8" applyNumberFormat="0" applyAlignment="0" applyProtection="0"/>
    <xf numFmtId="0" fontId="62" fillId="31" borderId="9" applyNumberFormat="0" applyAlignment="0" applyProtection="0"/>
    <xf numFmtId="0" fontId="63" fillId="32" borderId="0" applyNumberFormat="0" applyBorder="0" applyAlignment="0" applyProtection="0"/>
    <xf numFmtId="0" fontId="64" fillId="0" borderId="0" applyNumberFormat="0" applyFill="0" applyBorder="0" applyAlignment="0" applyProtection="0"/>
  </cellStyleXfs>
  <cellXfs count="383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7" fillId="3" borderId="12" xfId="0" applyFont="1" applyFill="1" applyBorder="1" applyAlignment="1">
      <alignment vertical="center" wrapText="1"/>
    </xf>
    <xf numFmtId="0" fontId="7" fillId="3" borderId="13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6" borderId="12" xfId="0" applyFont="1" applyFill="1" applyBorder="1" applyAlignment="1">
      <alignment vertical="center" wrapText="1"/>
    </xf>
    <xf numFmtId="0" fontId="7" fillId="6" borderId="13" xfId="0" applyFont="1" applyFill="1" applyBorder="1" applyAlignment="1">
      <alignment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7" fillId="6" borderId="14" xfId="0" applyFont="1" applyFill="1" applyBorder="1" applyAlignment="1">
      <alignment vertical="center" wrapText="1"/>
    </xf>
    <xf numFmtId="0" fontId="7" fillId="33" borderId="15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 wrapText="1"/>
    </xf>
    <xf numFmtId="0" fontId="7" fillId="6" borderId="16" xfId="0" applyFont="1" applyFill="1" applyBorder="1" applyAlignment="1">
      <alignment horizontal="center" vertical="center" wrapText="1"/>
    </xf>
    <xf numFmtId="0" fontId="7" fillId="6" borderId="17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65" fillId="0" borderId="18" xfId="0" applyFont="1" applyFill="1" applyBorder="1" applyAlignment="1">
      <alignment horizontal="center" vertical="center"/>
    </xf>
    <xf numFmtId="0" fontId="66" fillId="0" borderId="19" xfId="0" applyFont="1" applyFill="1" applyBorder="1" applyAlignment="1">
      <alignment horizontal="center" vertical="center"/>
    </xf>
    <xf numFmtId="0" fontId="65" fillId="0" borderId="20" xfId="0" applyFont="1" applyFill="1" applyBorder="1" applyAlignment="1">
      <alignment horizontal="center" vertical="center"/>
    </xf>
    <xf numFmtId="0" fontId="65" fillId="0" borderId="19" xfId="0" applyFont="1" applyFill="1" applyBorder="1" applyAlignment="1">
      <alignment horizontal="center" vertical="center"/>
    </xf>
    <xf numFmtId="0" fontId="7" fillId="34" borderId="18" xfId="40" applyFont="1" applyFill="1" applyBorder="1" applyAlignment="1">
      <alignment horizontal="center" vertical="center"/>
      <protection/>
    </xf>
    <xf numFmtId="0" fontId="7" fillId="0" borderId="18" xfId="40" applyFont="1" applyFill="1" applyBorder="1" applyAlignment="1">
      <alignment horizontal="center" vertical="center"/>
      <protection/>
    </xf>
    <xf numFmtId="0" fontId="65" fillId="0" borderId="18" xfId="0" applyFont="1" applyFill="1" applyBorder="1" applyAlignment="1">
      <alignment horizontal="center" vertical="center" wrapText="1"/>
    </xf>
    <xf numFmtId="0" fontId="11" fillId="0" borderId="21" xfId="0" applyFont="1" applyBorder="1" applyAlignment="1">
      <alignment vertical="center"/>
    </xf>
    <xf numFmtId="176" fontId="12" fillId="0" borderId="20" xfId="0" applyNumberFormat="1" applyFont="1" applyFill="1" applyBorder="1" applyAlignment="1">
      <alignment vertical="center"/>
    </xf>
    <xf numFmtId="176" fontId="8" fillId="0" borderId="22" xfId="0" applyNumberFormat="1" applyFont="1" applyFill="1" applyBorder="1" applyAlignment="1">
      <alignment vertical="center"/>
    </xf>
    <xf numFmtId="177" fontId="12" fillId="0" borderId="20" xfId="0" applyNumberFormat="1" applyFont="1" applyFill="1" applyBorder="1" applyAlignment="1">
      <alignment vertical="center"/>
    </xf>
    <xf numFmtId="177" fontId="8" fillId="0" borderId="20" xfId="0" applyNumberFormat="1" applyFont="1" applyFill="1" applyBorder="1" applyAlignment="1">
      <alignment vertical="center"/>
    </xf>
    <xf numFmtId="178" fontId="12" fillId="0" borderId="20" xfId="0" applyNumberFormat="1" applyFont="1" applyFill="1" applyBorder="1" applyAlignment="1">
      <alignment vertical="center"/>
    </xf>
    <xf numFmtId="178" fontId="8" fillId="0" borderId="20" xfId="0" applyNumberFormat="1" applyFont="1" applyFill="1" applyBorder="1" applyAlignment="1">
      <alignment vertical="center"/>
    </xf>
    <xf numFmtId="179" fontId="12" fillId="0" borderId="20" xfId="0" applyNumberFormat="1" applyFont="1" applyFill="1" applyBorder="1" applyAlignment="1">
      <alignment vertical="center"/>
    </xf>
    <xf numFmtId="179" fontId="8" fillId="0" borderId="20" xfId="0" applyNumberFormat="1" applyFont="1" applyFill="1" applyBorder="1" applyAlignment="1">
      <alignment vertical="center"/>
    </xf>
    <xf numFmtId="180" fontId="12" fillId="0" borderId="23" xfId="0" applyNumberFormat="1" applyFont="1" applyFill="1" applyBorder="1" applyAlignment="1">
      <alignment vertical="center"/>
    </xf>
    <xf numFmtId="180" fontId="8" fillId="0" borderId="20" xfId="0" applyNumberFormat="1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23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 shrinkToFit="1"/>
    </xf>
    <xf numFmtId="0" fontId="13" fillId="0" borderId="22" xfId="0" applyFont="1" applyFill="1" applyBorder="1" applyAlignment="1">
      <alignment horizontal="center" vertical="center"/>
    </xf>
    <xf numFmtId="0" fontId="7" fillId="0" borderId="20" xfId="40" applyFont="1" applyFill="1" applyBorder="1" applyAlignment="1">
      <alignment horizontal="center" vertical="center"/>
      <protection/>
    </xf>
    <xf numFmtId="0" fontId="7" fillId="34" borderId="18" xfId="0" applyFont="1" applyFill="1" applyBorder="1" applyAlignment="1">
      <alignment horizontal="center" vertical="center"/>
    </xf>
    <xf numFmtId="0" fontId="67" fillId="0" borderId="18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 wrapText="1"/>
    </xf>
    <xf numFmtId="0" fontId="7" fillId="0" borderId="20" xfId="39" applyFont="1" applyFill="1" applyBorder="1" applyAlignment="1">
      <alignment horizontal="center" vertical="center"/>
      <protection/>
    </xf>
    <xf numFmtId="0" fontId="7" fillId="0" borderId="19" xfId="0" applyFont="1" applyFill="1" applyBorder="1" applyAlignment="1">
      <alignment horizontal="center" vertical="center"/>
    </xf>
    <xf numFmtId="0" fontId="7" fillId="0" borderId="18" xfId="39" applyFont="1" applyFill="1" applyBorder="1" applyAlignment="1">
      <alignment horizontal="center" vertical="center"/>
      <protection/>
    </xf>
    <xf numFmtId="0" fontId="7" fillId="0" borderId="0" xfId="0" applyFont="1" applyFill="1" applyBorder="1" applyAlignment="1">
      <alignment horizontal="right" vertical="center"/>
    </xf>
    <xf numFmtId="181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181" fontId="7" fillId="0" borderId="0" xfId="0" applyNumberFormat="1" applyFont="1" applyFill="1" applyAlignment="1">
      <alignment horizontal="right" vertical="center"/>
    </xf>
    <xf numFmtId="0" fontId="1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5" fillId="0" borderId="20" xfId="40" applyFont="1" applyFill="1" applyBorder="1" applyAlignment="1">
      <alignment horizontal="center" vertical="center"/>
      <protection/>
    </xf>
    <xf numFmtId="0" fontId="7" fillId="34" borderId="20" xfId="0" applyFont="1" applyFill="1" applyBorder="1" applyAlignment="1">
      <alignment horizontal="center" vertical="center"/>
    </xf>
    <xf numFmtId="0" fontId="7" fillId="34" borderId="18" xfId="0" applyFont="1" applyFill="1" applyBorder="1" applyAlignment="1">
      <alignment horizontal="center" vertical="center" wrapText="1"/>
    </xf>
    <xf numFmtId="0" fontId="7" fillId="34" borderId="2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7" fillId="0" borderId="0" xfId="42" applyFont="1" applyFill="1" applyBorder="1" applyAlignment="1">
      <alignment horizontal="center" vertical="center" wrapText="1"/>
      <protection/>
    </xf>
    <xf numFmtId="0" fontId="15" fillId="0" borderId="0" xfId="42" applyFont="1" applyFill="1" applyBorder="1" applyAlignment="1">
      <alignment horizontal="center" vertical="center" wrapText="1"/>
      <protection/>
    </xf>
    <xf numFmtId="0" fontId="13" fillId="7" borderId="20" xfId="0" applyFont="1" applyFill="1" applyBorder="1" applyAlignment="1">
      <alignment vertical="center"/>
    </xf>
    <xf numFmtId="0" fontId="7" fillId="7" borderId="22" xfId="0" applyFont="1" applyFill="1" applyBorder="1" applyAlignment="1">
      <alignment vertical="center"/>
    </xf>
    <xf numFmtId="0" fontId="7" fillId="7" borderId="2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0" fillId="34" borderId="20" xfId="0" applyFont="1" applyFill="1" applyBorder="1" applyAlignment="1">
      <alignment horizontal="center" vertical="center"/>
    </xf>
    <xf numFmtId="0" fontId="65" fillId="34" borderId="18" xfId="0" applyFont="1" applyFill="1" applyBorder="1" applyAlignment="1">
      <alignment horizontal="center" vertical="center"/>
    </xf>
    <xf numFmtId="0" fontId="68" fillId="34" borderId="20" xfId="0" applyFont="1" applyFill="1" applyBorder="1" applyAlignment="1">
      <alignment horizontal="center" vertical="center"/>
    </xf>
    <xf numFmtId="0" fontId="10" fillId="34" borderId="19" xfId="0" applyFont="1" applyFill="1" applyBorder="1" applyAlignment="1">
      <alignment horizontal="center" vertical="center"/>
    </xf>
    <xf numFmtId="0" fontId="68" fillId="34" borderId="18" xfId="0" applyFont="1" applyFill="1" applyBorder="1" applyAlignment="1">
      <alignment horizontal="center" vertical="center" shrinkToFit="1"/>
    </xf>
    <xf numFmtId="0" fontId="10" fillId="0" borderId="26" xfId="0" applyFont="1" applyFill="1" applyBorder="1" applyAlignment="1">
      <alignment horizontal="center" vertical="center"/>
    </xf>
    <xf numFmtId="0" fontId="7" fillId="0" borderId="18" xfId="41" applyFont="1" applyFill="1" applyBorder="1" applyAlignment="1">
      <alignment horizontal="center" vertical="center"/>
      <protection/>
    </xf>
    <xf numFmtId="0" fontId="20" fillId="6" borderId="27" xfId="38" applyFont="1" applyFill="1" applyBorder="1" applyAlignment="1">
      <alignment horizontal="center" vertical="center"/>
      <protection/>
    </xf>
    <xf numFmtId="186" fontId="8" fillId="0" borderId="0" xfId="0" applyNumberFormat="1" applyFont="1" applyFill="1" applyBorder="1" applyAlignment="1">
      <alignment horizontal="center" vertical="center"/>
    </xf>
    <xf numFmtId="0" fontId="20" fillId="6" borderId="28" xfId="38" applyFont="1" applyFill="1" applyBorder="1" applyAlignment="1">
      <alignment horizontal="center" vertical="center"/>
      <protection/>
    </xf>
    <xf numFmtId="0" fontId="69" fillId="6" borderId="29" xfId="0" applyFont="1" applyFill="1" applyBorder="1" applyAlignment="1">
      <alignment horizontal="center" vertical="center"/>
    </xf>
    <xf numFmtId="0" fontId="8" fillId="6" borderId="0" xfId="0" applyFont="1" applyFill="1" applyBorder="1" applyAlignment="1">
      <alignment horizontal="center" vertical="center"/>
    </xf>
    <xf numFmtId="0" fontId="69" fillId="6" borderId="30" xfId="0" applyFont="1" applyFill="1" applyBorder="1" applyAlignment="1">
      <alignment horizontal="center" vertical="center"/>
    </xf>
    <xf numFmtId="0" fontId="8" fillId="6" borderId="31" xfId="0" applyFont="1" applyFill="1" applyBorder="1" applyAlignment="1">
      <alignment horizontal="center" vertical="center"/>
    </xf>
    <xf numFmtId="0" fontId="12" fillId="6" borderId="0" xfId="0" applyFont="1" applyFill="1" applyBorder="1" applyAlignment="1">
      <alignment horizontal="center" vertical="center"/>
    </xf>
    <xf numFmtId="0" fontId="69" fillId="0" borderId="0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21" fillId="6" borderId="28" xfId="38" applyFont="1" applyFill="1" applyBorder="1" applyAlignment="1">
      <alignment horizontal="center" vertical="center"/>
      <protection/>
    </xf>
    <xf numFmtId="0" fontId="22" fillId="6" borderId="28" xfId="38" applyFont="1" applyFill="1" applyBorder="1" applyAlignment="1">
      <alignment horizontal="center" vertical="center"/>
      <protection/>
    </xf>
    <xf numFmtId="0" fontId="70" fillId="6" borderId="30" xfId="38" applyFont="1" applyFill="1" applyBorder="1" applyAlignment="1">
      <alignment horizontal="center" vertical="center"/>
      <protection/>
    </xf>
    <xf numFmtId="0" fontId="21" fillId="6" borderId="33" xfId="38" applyFont="1" applyFill="1" applyBorder="1" applyAlignment="1">
      <alignment horizontal="center" vertical="center"/>
      <protection/>
    </xf>
    <xf numFmtId="0" fontId="69" fillId="6" borderId="34" xfId="0" applyFont="1" applyFill="1" applyBorder="1" applyAlignment="1">
      <alignment horizontal="center" vertical="center"/>
    </xf>
    <xf numFmtId="0" fontId="8" fillId="6" borderId="35" xfId="0" applyFont="1" applyFill="1" applyBorder="1" applyAlignment="1">
      <alignment horizontal="center" vertical="center"/>
    </xf>
    <xf numFmtId="0" fontId="69" fillId="6" borderId="36" xfId="0" applyFont="1" applyFill="1" applyBorder="1" applyAlignment="1">
      <alignment horizontal="center" vertical="center"/>
    </xf>
    <xf numFmtId="0" fontId="8" fillId="6" borderId="37" xfId="0" applyFont="1" applyFill="1" applyBorder="1" applyAlignment="1">
      <alignment horizontal="center" vertical="center"/>
    </xf>
    <xf numFmtId="0" fontId="12" fillId="6" borderId="35" xfId="0" applyFont="1" applyFill="1" applyBorder="1" applyAlignment="1">
      <alignment horizontal="center" vertical="center"/>
    </xf>
    <xf numFmtId="0" fontId="69" fillId="0" borderId="35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10" fillId="34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right" vertical="center"/>
    </xf>
    <xf numFmtId="0" fontId="14" fillId="0" borderId="0" xfId="0" applyFont="1" applyFill="1" applyAlignment="1">
      <alignment horizontal="right" vertical="center"/>
    </xf>
    <xf numFmtId="0" fontId="10" fillId="34" borderId="39" xfId="0" applyFont="1" applyFill="1" applyBorder="1" applyAlignment="1">
      <alignment horizontal="center" vertical="center"/>
    </xf>
    <xf numFmtId="0" fontId="10" fillId="34" borderId="26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/>
    </xf>
    <xf numFmtId="188" fontId="8" fillId="0" borderId="0" xfId="0" applyNumberFormat="1" applyFont="1" applyFill="1" applyAlignment="1">
      <alignment horizontal="center" vertical="center"/>
    </xf>
    <xf numFmtId="0" fontId="23" fillId="0" borderId="21" xfId="0" applyFont="1" applyFill="1" applyBorder="1" applyAlignment="1">
      <alignment vertical="center"/>
    </xf>
    <xf numFmtId="0" fontId="11" fillId="0" borderId="21" xfId="0" applyFont="1" applyFill="1" applyBorder="1" applyAlignment="1">
      <alignment vertical="center"/>
    </xf>
    <xf numFmtId="176" fontId="12" fillId="0" borderId="39" xfId="0" applyNumberFormat="1" applyFont="1" applyFill="1" applyBorder="1" applyAlignment="1">
      <alignment vertical="center"/>
    </xf>
    <xf numFmtId="176" fontId="8" fillId="0" borderId="41" xfId="0" applyNumberFormat="1" applyFont="1" applyFill="1" applyBorder="1" applyAlignment="1">
      <alignment vertical="center"/>
    </xf>
    <xf numFmtId="177" fontId="12" fillId="0" borderId="39" xfId="0" applyNumberFormat="1" applyFont="1" applyFill="1" applyBorder="1" applyAlignment="1">
      <alignment vertical="center"/>
    </xf>
    <xf numFmtId="177" fontId="8" fillId="0" borderId="41" xfId="0" applyNumberFormat="1" applyFont="1" applyFill="1" applyBorder="1" applyAlignment="1">
      <alignment vertical="center"/>
    </xf>
    <xf numFmtId="178" fontId="12" fillId="0" borderId="39" xfId="0" applyNumberFormat="1" applyFont="1" applyFill="1" applyBorder="1" applyAlignment="1">
      <alignment vertical="center"/>
    </xf>
    <xf numFmtId="178" fontId="8" fillId="0" borderId="41" xfId="0" applyNumberFormat="1" applyFont="1" applyFill="1" applyBorder="1" applyAlignment="1">
      <alignment vertical="center"/>
    </xf>
    <xf numFmtId="179" fontId="12" fillId="0" borderId="39" xfId="0" applyNumberFormat="1" applyFont="1" applyFill="1" applyBorder="1" applyAlignment="1">
      <alignment vertical="center"/>
    </xf>
    <xf numFmtId="179" fontId="8" fillId="0" borderId="39" xfId="0" applyNumberFormat="1" applyFont="1" applyFill="1" applyBorder="1" applyAlignment="1">
      <alignment vertical="center"/>
    </xf>
    <xf numFmtId="180" fontId="12" fillId="0" borderId="42" xfId="0" applyNumberFormat="1" applyFont="1" applyFill="1" applyBorder="1" applyAlignment="1">
      <alignment vertical="center"/>
    </xf>
    <xf numFmtId="180" fontId="8" fillId="0" borderId="22" xfId="0" applyNumberFormat="1" applyFont="1" applyFill="1" applyBorder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0" fontId="13" fillId="0" borderId="43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vertical="center"/>
    </xf>
    <xf numFmtId="0" fontId="13" fillId="34" borderId="20" xfId="0" applyFont="1" applyFill="1" applyBorder="1" applyAlignment="1">
      <alignment horizontal="center" vertical="center"/>
    </xf>
    <xf numFmtId="0" fontId="7" fillId="34" borderId="20" xfId="45" applyFont="1" applyFill="1" applyBorder="1" applyAlignment="1">
      <alignment horizontal="center" vertical="center"/>
      <protection/>
    </xf>
    <xf numFmtId="0" fontId="7" fillId="34" borderId="19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 wrapText="1"/>
    </xf>
    <xf numFmtId="0" fontId="66" fillId="34" borderId="20" xfId="0" applyFont="1" applyFill="1" applyBorder="1" applyAlignment="1">
      <alignment horizontal="center" vertical="center"/>
    </xf>
    <xf numFmtId="0" fontId="7" fillId="34" borderId="18" xfId="0" applyFont="1" applyFill="1" applyBorder="1" applyAlignment="1">
      <alignment horizontal="center" vertical="center" shrinkToFit="1"/>
    </xf>
    <xf numFmtId="0" fontId="7" fillId="0" borderId="44" xfId="0" applyFont="1" applyFill="1" applyBorder="1" applyAlignment="1">
      <alignment horizontal="center" vertical="center" wrapText="1"/>
    </xf>
    <xf numFmtId="0" fontId="10" fillId="0" borderId="42" xfId="0" applyFont="1" applyFill="1" applyBorder="1" applyAlignment="1">
      <alignment horizontal="center" vertical="center"/>
    </xf>
    <xf numFmtId="0" fontId="67" fillId="34" borderId="18" xfId="0" applyFont="1" applyFill="1" applyBorder="1" applyAlignment="1">
      <alignment horizontal="center" vertical="center"/>
    </xf>
    <xf numFmtId="0" fontId="67" fillId="34" borderId="20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67" fillId="34" borderId="19" xfId="0" applyFont="1" applyFill="1" applyBorder="1" applyAlignment="1">
      <alignment horizontal="center" vertical="center"/>
    </xf>
    <xf numFmtId="0" fontId="7" fillId="34" borderId="20" xfId="46" applyFont="1" applyFill="1" applyBorder="1" applyAlignment="1">
      <alignment horizontal="center" vertical="center"/>
      <protection/>
    </xf>
    <xf numFmtId="0" fontId="13" fillId="34" borderId="20" xfId="0" applyNumberFormat="1" applyFont="1" applyFill="1" applyBorder="1" applyAlignment="1">
      <alignment horizontal="center" vertical="center"/>
    </xf>
    <xf numFmtId="0" fontId="13" fillId="0" borderId="45" xfId="0" applyFont="1" applyFill="1" applyBorder="1" applyAlignment="1">
      <alignment horizontal="center" vertical="center"/>
    </xf>
    <xf numFmtId="0" fontId="7" fillId="34" borderId="25" xfId="46" applyFont="1" applyFill="1" applyBorder="1" applyAlignment="1">
      <alignment horizontal="center" vertical="center"/>
      <protection/>
    </xf>
    <xf numFmtId="0" fontId="10" fillId="34" borderId="25" xfId="0" applyFont="1" applyFill="1" applyBorder="1" applyAlignment="1">
      <alignment horizontal="center" vertical="center"/>
    </xf>
    <xf numFmtId="0" fontId="10" fillId="34" borderId="40" xfId="0" applyFont="1" applyFill="1" applyBorder="1" applyAlignment="1">
      <alignment horizontal="center" vertical="center"/>
    </xf>
    <xf numFmtId="0" fontId="13" fillId="34" borderId="25" xfId="0" applyFont="1" applyFill="1" applyBorder="1" applyAlignment="1">
      <alignment horizontal="center" vertical="center"/>
    </xf>
    <xf numFmtId="0" fontId="67" fillId="34" borderId="25" xfId="0" applyFont="1" applyFill="1" applyBorder="1" applyAlignment="1">
      <alignment horizontal="center" vertical="center"/>
    </xf>
    <xf numFmtId="0" fontId="67" fillId="34" borderId="40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/>
    </xf>
    <xf numFmtId="0" fontId="66" fillId="0" borderId="20" xfId="0" applyFont="1" applyFill="1" applyBorder="1" applyAlignment="1">
      <alignment horizontal="center" vertical="center"/>
    </xf>
    <xf numFmtId="0" fontId="10" fillId="0" borderId="18" xfId="40" applyFont="1" applyFill="1" applyBorder="1" applyAlignment="1">
      <alignment horizontal="center" vertical="center"/>
      <protection/>
    </xf>
    <xf numFmtId="0" fontId="7" fillId="0" borderId="20" xfId="46" applyFont="1" applyFill="1" applyBorder="1" applyAlignment="1">
      <alignment horizontal="center" vertical="center"/>
      <protection/>
    </xf>
    <xf numFmtId="0" fontId="10" fillId="0" borderId="22" xfId="0" applyFont="1" applyFill="1" applyBorder="1" applyAlignment="1">
      <alignment horizontal="center" vertical="center"/>
    </xf>
    <xf numFmtId="0" fontId="7" fillId="0" borderId="42" xfId="46" applyFont="1" applyFill="1" applyBorder="1" applyAlignment="1">
      <alignment horizontal="center" vertical="center"/>
      <protection/>
    </xf>
    <xf numFmtId="0" fontId="10" fillId="0" borderId="46" xfId="0" applyFont="1" applyFill="1" applyBorder="1" applyAlignment="1">
      <alignment horizontal="center" vertical="center"/>
    </xf>
    <xf numFmtId="0" fontId="13" fillId="0" borderId="42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24" fillId="0" borderId="42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center" vertical="center"/>
    </xf>
    <xf numFmtId="0" fontId="20" fillId="6" borderId="49" xfId="38" applyFont="1" applyFill="1" applyBorder="1" applyAlignment="1">
      <alignment horizontal="center" vertical="center"/>
      <protection/>
    </xf>
    <xf numFmtId="0" fontId="8" fillId="0" borderId="0" xfId="0" applyFont="1" applyFill="1" applyBorder="1" applyAlignment="1">
      <alignment horizontal="center" vertical="center"/>
    </xf>
    <xf numFmtId="0" fontId="20" fillId="6" borderId="50" xfId="38" applyFont="1" applyFill="1" applyBorder="1" applyAlignment="1">
      <alignment horizontal="center" vertical="center"/>
      <protection/>
    </xf>
    <xf numFmtId="0" fontId="21" fillId="6" borderId="50" xfId="38" applyFont="1" applyFill="1" applyBorder="1" applyAlignment="1">
      <alignment horizontal="center" vertical="center"/>
      <protection/>
    </xf>
    <xf numFmtId="0" fontId="22" fillId="6" borderId="50" xfId="38" applyFont="1" applyFill="1" applyBorder="1" applyAlignment="1">
      <alignment horizontal="center" vertical="center"/>
      <protection/>
    </xf>
    <xf numFmtId="186" fontId="8" fillId="0" borderId="35" xfId="0" applyNumberFormat="1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21" fillId="6" borderId="51" xfId="38" applyFont="1" applyFill="1" applyBorder="1" applyAlignment="1">
      <alignment horizontal="center" vertical="center"/>
      <protection/>
    </xf>
    <xf numFmtId="0" fontId="7" fillId="0" borderId="18" xfId="45" applyFont="1" applyFill="1" applyBorder="1" applyAlignment="1">
      <alignment horizontal="center" vertical="center"/>
      <protection/>
    </xf>
    <xf numFmtId="0" fontId="7" fillId="0" borderId="25" xfId="46" applyFont="1" applyFill="1" applyBorder="1" applyAlignment="1">
      <alignment horizontal="center" vertical="center"/>
      <protection/>
    </xf>
    <xf numFmtId="0" fontId="15" fillId="0" borderId="18" xfId="0" applyFont="1" applyFill="1" applyBorder="1" applyAlignment="1">
      <alignment horizontal="center" vertical="center"/>
    </xf>
    <xf numFmtId="180" fontId="12" fillId="0" borderId="20" xfId="0" applyNumberFormat="1" applyFont="1" applyFill="1" applyBorder="1" applyAlignment="1">
      <alignment vertical="center"/>
    </xf>
    <xf numFmtId="0" fontId="7" fillId="0" borderId="52" xfId="0" applyFont="1" applyFill="1" applyBorder="1" applyAlignment="1">
      <alignment horizontal="center" vertical="center"/>
    </xf>
    <xf numFmtId="0" fontId="10" fillId="0" borderId="53" xfId="0" applyFont="1" applyFill="1" applyBorder="1" applyAlignment="1">
      <alignment horizontal="center" vertical="center"/>
    </xf>
    <xf numFmtId="0" fontId="7" fillId="0" borderId="12" xfId="42" applyFont="1" applyFill="1" applyBorder="1" applyAlignment="1">
      <alignment vertical="center" wrapText="1"/>
      <protection/>
    </xf>
    <xf numFmtId="0" fontId="13" fillId="0" borderId="12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 wrapText="1"/>
    </xf>
    <xf numFmtId="180" fontId="8" fillId="0" borderId="19" xfId="0" applyNumberFormat="1" applyFont="1" applyFill="1" applyBorder="1" applyAlignment="1">
      <alignment vertical="center"/>
    </xf>
    <xf numFmtId="0" fontId="8" fillId="0" borderId="52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vertical="center"/>
    </xf>
    <xf numFmtId="0" fontId="7" fillId="0" borderId="54" xfId="0" applyFont="1" applyFill="1" applyBorder="1" applyAlignment="1">
      <alignment horizontal="center" vertical="center"/>
    </xf>
    <xf numFmtId="0" fontId="8" fillId="34" borderId="24" xfId="0" applyFont="1" applyFill="1" applyBorder="1" applyAlignment="1">
      <alignment horizontal="center" vertical="center"/>
    </xf>
    <xf numFmtId="0" fontId="7" fillId="34" borderId="23" xfId="0" applyFont="1" applyFill="1" applyBorder="1" applyAlignment="1">
      <alignment horizontal="center" vertical="center" wrapText="1"/>
    </xf>
    <xf numFmtId="0" fontId="7" fillId="34" borderId="20" xfId="0" applyFont="1" applyFill="1" applyBorder="1" applyAlignment="1">
      <alignment horizontal="center" vertical="center" wrapText="1"/>
    </xf>
    <xf numFmtId="0" fontId="20" fillId="0" borderId="18" xfId="40" applyFont="1" applyFill="1" applyBorder="1" applyAlignment="1">
      <alignment horizontal="center" vertical="center"/>
      <protection/>
    </xf>
    <xf numFmtId="0" fontId="2" fillId="0" borderId="18" xfId="0" applyFont="1" applyFill="1" applyBorder="1" applyAlignment="1">
      <alignment horizontal="center" vertical="center"/>
    </xf>
    <xf numFmtId="0" fontId="26" fillId="0" borderId="19" xfId="0" applyFont="1" applyFill="1" applyBorder="1" applyAlignment="1">
      <alignment horizontal="center" vertical="center"/>
    </xf>
    <xf numFmtId="0" fontId="15" fillId="34" borderId="18" xfId="0" applyFont="1" applyFill="1" applyBorder="1" applyAlignment="1">
      <alignment horizontal="center" vertical="center"/>
    </xf>
    <xf numFmtId="0" fontId="10" fillId="0" borderId="55" xfId="0" applyFont="1" applyFill="1" applyBorder="1" applyAlignment="1">
      <alignment horizontal="center" vertical="center"/>
    </xf>
    <xf numFmtId="0" fontId="67" fillId="0" borderId="56" xfId="0" applyFont="1" applyFill="1" applyBorder="1" applyAlignment="1">
      <alignment vertical="center" wrapText="1"/>
    </xf>
    <xf numFmtId="0" fontId="67" fillId="0" borderId="57" xfId="0" applyFont="1" applyFill="1" applyBorder="1" applyAlignment="1">
      <alignment vertical="center" wrapText="1"/>
    </xf>
    <xf numFmtId="0" fontId="67" fillId="0" borderId="58" xfId="0" applyFont="1" applyFill="1" applyBorder="1" applyAlignment="1">
      <alignment vertical="center" wrapText="1"/>
    </xf>
    <xf numFmtId="0" fontId="7" fillId="0" borderId="59" xfId="0" applyFont="1" applyFill="1" applyBorder="1" applyAlignment="1">
      <alignment horizontal="center" vertical="center"/>
    </xf>
    <xf numFmtId="0" fontId="7" fillId="34" borderId="59" xfId="39" applyFont="1" applyFill="1" applyBorder="1" applyAlignment="1">
      <alignment horizontal="center" vertical="center"/>
      <protection/>
    </xf>
    <xf numFmtId="0" fontId="15" fillId="34" borderId="45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 wrapText="1"/>
    </xf>
    <xf numFmtId="0" fontId="8" fillId="0" borderId="59" xfId="0" applyFont="1" applyFill="1" applyBorder="1" applyAlignment="1">
      <alignment horizontal="center" vertical="center"/>
    </xf>
    <xf numFmtId="0" fontId="71" fillId="34" borderId="45" xfId="0" applyFont="1" applyFill="1" applyBorder="1" applyAlignment="1">
      <alignment horizontal="center" vertical="center"/>
    </xf>
    <xf numFmtId="0" fontId="67" fillId="0" borderId="18" xfId="0" applyFont="1" applyFill="1" applyBorder="1" applyAlignment="1">
      <alignment horizontal="center" vertical="center" wrapText="1"/>
    </xf>
    <xf numFmtId="0" fontId="7" fillId="0" borderId="60" xfId="0" applyFont="1" applyFill="1" applyBorder="1" applyAlignment="1">
      <alignment horizontal="center" vertical="center" wrapText="1"/>
    </xf>
    <xf numFmtId="0" fontId="10" fillId="0" borderId="61" xfId="0" applyFont="1" applyFill="1" applyBorder="1" applyAlignment="1">
      <alignment horizontal="center" vertical="center"/>
    </xf>
    <xf numFmtId="183" fontId="8" fillId="0" borderId="12" xfId="0" applyNumberFormat="1" applyFont="1" applyBorder="1" applyAlignment="1">
      <alignment horizontal="center" vertical="center"/>
    </xf>
    <xf numFmtId="0" fontId="7" fillId="6" borderId="62" xfId="0" applyFont="1" applyFill="1" applyBorder="1" applyAlignment="1">
      <alignment horizontal="center" vertical="center" wrapText="1"/>
    </xf>
    <xf numFmtId="0" fontId="7" fillId="6" borderId="63" xfId="0" applyFont="1" applyFill="1" applyBorder="1" applyAlignment="1">
      <alignment vertical="center" wrapText="1"/>
    </xf>
    <xf numFmtId="0" fontId="7" fillId="6" borderId="64" xfId="0" applyFont="1" applyFill="1" applyBorder="1" applyAlignment="1">
      <alignment vertical="center" wrapText="1"/>
    </xf>
    <xf numFmtId="0" fontId="15" fillId="0" borderId="18" xfId="39" applyFont="1" applyFill="1" applyBorder="1" applyAlignment="1">
      <alignment horizontal="center" vertical="center"/>
      <protection/>
    </xf>
    <xf numFmtId="0" fontId="7" fillId="34" borderId="0" xfId="0" applyFont="1" applyFill="1" applyBorder="1" applyAlignment="1">
      <alignment horizontal="center" vertical="center" shrinkToFit="1"/>
    </xf>
    <xf numFmtId="0" fontId="71" fillId="34" borderId="20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/>
    </xf>
    <xf numFmtId="0" fontId="10" fillId="34" borderId="42" xfId="0" applyFont="1" applyFill="1" applyBorder="1" applyAlignment="1">
      <alignment horizontal="center" vertical="center"/>
    </xf>
    <xf numFmtId="0" fontId="10" fillId="34" borderId="46" xfId="0" applyFont="1" applyFill="1" applyBorder="1" applyAlignment="1">
      <alignment horizontal="center" vertical="center"/>
    </xf>
    <xf numFmtId="0" fontId="65" fillId="34" borderId="44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7" fillId="34" borderId="44" xfId="0" applyFont="1" applyFill="1" applyBorder="1" applyAlignment="1">
      <alignment horizontal="center" vertical="center"/>
    </xf>
    <xf numFmtId="0" fontId="13" fillId="0" borderId="65" xfId="0" applyFont="1" applyFill="1" applyBorder="1" applyAlignment="1">
      <alignment horizontal="center" vertical="center"/>
    </xf>
    <xf numFmtId="0" fontId="7" fillId="34" borderId="24" xfId="0" applyFont="1" applyFill="1" applyBorder="1" applyAlignment="1">
      <alignment horizontal="center" vertical="center"/>
    </xf>
    <xf numFmtId="0" fontId="12" fillId="0" borderId="66" xfId="0" applyFont="1" applyFill="1" applyBorder="1" applyAlignment="1">
      <alignment horizontal="center" vertical="center"/>
    </xf>
    <xf numFmtId="0" fontId="7" fillId="6" borderId="67" xfId="0" applyFont="1" applyFill="1" applyBorder="1" applyAlignment="1">
      <alignment vertical="center" wrapText="1"/>
    </xf>
    <xf numFmtId="0" fontId="8" fillId="0" borderId="20" xfId="0" applyFont="1" applyFill="1" applyBorder="1" applyAlignment="1">
      <alignment horizontal="center" vertical="center"/>
    </xf>
    <xf numFmtId="0" fontId="13" fillId="0" borderId="68" xfId="0" applyFont="1" applyFill="1" applyBorder="1" applyAlignment="1">
      <alignment horizontal="center" vertical="center"/>
    </xf>
    <xf numFmtId="0" fontId="67" fillId="34" borderId="56" xfId="39" applyFont="1" applyFill="1" applyBorder="1" applyAlignment="1">
      <alignment horizontal="center" vertical="center"/>
      <protection/>
    </xf>
    <xf numFmtId="0" fontId="67" fillId="0" borderId="20" xfId="39" applyFont="1" applyFill="1" applyBorder="1" applyAlignment="1">
      <alignment horizontal="center" vertical="center"/>
      <protection/>
    </xf>
    <xf numFmtId="0" fontId="7" fillId="34" borderId="57" xfId="0" applyFont="1" applyFill="1" applyBorder="1" applyAlignment="1">
      <alignment horizontal="center" vertical="center"/>
    </xf>
    <xf numFmtId="0" fontId="10" fillId="0" borderId="57" xfId="0" applyFont="1" applyFill="1" applyBorder="1" applyAlignment="1">
      <alignment horizontal="center" vertical="center"/>
    </xf>
    <xf numFmtId="0" fontId="7" fillId="0" borderId="60" xfId="0" applyFont="1" applyFill="1" applyBorder="1" applyAlignment="1">
      <alignment horizontal="center" vertical="center"/>
    </xf>
    <xf numFmtId="0" fontId="10" fillId="34" borderId="53" xfId="0" applyFont="1" applyFill="1" applyBorder="1" applyAlignment="1">
      <alignment horizontal="center" vertical="center"/>
    </xf>
    <xf numFmtId="0" fontId="10" fillId="34" borderId="61" xfId="0" applyFont="1" applyFill="1" applyBorder="1" applyAlignment="1">
      <alignment horizontal="center" vertical="center"/>
    </xf>
    <xf numFmtId="0" fontId="67" fillId="0" borderId="18" xfId="39" applyFont="1" applyFill="1" applyBorder="1" applyAlignment="1">
      <alignment horizontal="center" vertical="center"/>
      <protection/>
    </xf>
    <xf numFmtId="0" fontId="13" fillId="0" borderId="69" xfId="0" applyFont="1" applyFill="1" applyBorder="1" applyAlignment="1">
      <alignment horizontal="center" vertical="center"/>
    </xf>
    <xf numFmtId="0" fontId="7" fillId="0" borderId="61" xfId="0" applyFont="1" applyFill="1" applyBorder="1" applyAlignment="1">
      <alignment horizontal="center" vertical="center"/>
    </xf>
    <xf numFmtId="0" fontId="13" fillId="7" borderId="45" xfId="0" applyFont="1" applyFill="1" applyBorder="1" applyAlignment="1">
      <alignment vertical="center"/>
    </xf>
    <xf numFmtId="0" fontId="13" fillId="34" borderId="45" xfId="0" applyFont="1" applyFill="1" applyBorder="1" applyAlignment="1">
      <alignment horizontal="center" vertical="center"/>
    </xf>
    <xf numFmtId="0" fontId="13" fillId="34" borderId="45" xfId="0" applyNumberFormat="1" applyFont="1" applyFill="1" applyBorder="1" applyAlignment="1">
      <alignment horizontal="center" vertical="center"/>
    </xf>
    <xf numFmtId="0" fontId="13" fillId="34" borderId="69" xfId="0" applyFont="1" applyFill="1" applyBorder="1" applyAlignment="1">
      <alignment horizontal="center" vertical="center"/>
    </xf>
    <xf numFmtId="0" fontId="7" fillId="34" borderId="61" xfId="0" applyFont="1" applyFill="1" applyBorder="1" applyAlignment="1">
      <alignment horizontal="center" vertical="center"/>
    </xf>
    <xf numFmtId="0" fontId="25" fillId="0" borderId="18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25" fillId="0" borderId="18" xfId="0" applyFont="1" applyFill="1" applyBorder="1" applyAlignment="1">
      <alignment horizontal="center" vertical="center"/>
    </xf>
    <xf numFmtId="0" fontId="26" fillId="0" borderId="20" xfId="0" applyFont="1" applyFill="1" applyBorder="1" applyAlignment="1">
      <alignment horizontal="center" vertical="center"/>
    </xf>
    <xf numFmtId="0" fontId="13" fillId="0" borderId="45" xfId="0" applyNumberFormat="1" applyFont="1" applyFill="1" applyBorder="1" applyAlignment="1">
      <alignment horizontal="center" vertical="center"/>
    </xf>
    <xf numFmtId="0" fontId="7" fillId="34" borderId="24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180" fontId="8" fillId="0" borderId="24" xfId="0" applyNumberFormat="1" applyFont="1" applyFill="1" applyBorder="1" applyAlignment="1">
      <alignment horizontal="center" vertical="center"/>
    </xf>
    <xf numFmtId="180" fontId="8" fillId="0" borderId="52" xfId="0" applyNumberFormat="1" applyFont="1" applyFill="1" applyBorder="1" applyAlignment="1">
      <alignment horizontal="center" vertical="center"/>
    </xf>
    <xf numFmtId="0" fontId="7" fillId="7" borderId="12" xfId="0" applyFont="1" applyFill="1" applyBorder="1" applyAlignment="1">
      <alignment horizontal="center" vertical="center" wrapText="1"/>
    </xf>
    <xf numFmtId="0" fontId="7" fillId="0" borderId="63" xfId="0" applyFont="1" applyFill="1" applyBorder="1" applyAlignment="1">
      <alignment horizontal="center" vertical="center" wrapText="1"/>
    </xf>
    <xf numFmtId="0" fontId="7" fillId="0" borderId="70" xfId="0" applyFont="1" applyFill="1" applyBorder="1" applyAlignment="1">
      <alignment horizontal="center" vertical="center" wrapText="1"/>
    </xf>
    <xf numFmtId="0" fontId="67" fillId="0" borderId="63" xfId="42" applyFont="1" applyFill="1" applyBorder="1" applyAlignment="1">
      <alignment horizontal="center" vertical="center" wrapText="1"/>
      <protection/>
    </xf>
    <xf numFmtId="0" fontId="67" fillId="0" borderId="70" xfId="42" applyFont="1" applyFill="1" applyBorder="1" applyAlignment="1">
      <alignment horizontal="center" vertical="center" wrapText="1"/>
      <protection/>
    </xf>
    <xf numFmtId="0" fontId="9" fillId="0" borderId="24" xfId="0" applyFont="1" applyFill="1" applyBorder="1" applyAlignment="1">
      <alignment horizontal="center" vertical="center"/>
    </xf>
    <xf numFmtId="0" fontId="9" fillId="0" borderId="52" xfId="0" applyFont="1" applyFill="1" applyBorder="1" applyAlignment="1">
      <alignment horizontal="center" vertical="center"/>
    </xf>
    <xf numFmtId="0" fontId="7" fillId="7" borderId="71" xfId="0" applyFont="1" applyFill="1" applyBorder="1" applyAlignment="1">
      <alignment horizontal="center" vertical="center" wrapText="1"/>
    </xf>
    <xf numFmtId="0" fontId="7" fillId="7" borderId="24" xfId="0" applyFont="1" applyFill="1" applyBorder="1" applyAlignment="1">
      <alignment horizontal="center" vertical="center" wrapText="1"/>
    </xf>
    <xf numFmtId="0" fontId="7" fillId="7" borderId="52" xfId="0" applyFont="1" applyFill="1" applyBorder="1" applyAlignment="1">
      <alignment horizontal="center" vertical="center" wrapText="1"/>
    </xf>
    <xf numFmtId="0" fontId="7" fillId="0" borderId="12" xfId="42" applyFont="1" applyFill="1" applyBorder="1" applyAlignment="1">
      <alignment horizontal="center" vertical="center" wrapText="1"/>
      <protection/>
    </xf>
    <xf numFmtId="0" fontId="7" fillId="0" borderId="63" xfId="42" applyFont="1" applyFill="1" applyBorder="1" applyAlignment="1">
      <alignment horizontal="center" vertical="center" wrapText="1"/>
      <protection/>
    </xf>
    <xf numFmtId="0" fontId="7" fillId="7" borderId="72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textRotation="255"/>
    </xf>
    <xf numFmtId="0" fontId="8" fillId="0" borderId="0" xfId="0" applyFont="1" applyFill="1" applyAlignment="1">
      <alignment horizontal="left" vertical="center"/>
    </xf>
    <xf numFmtId="0" fontId="8" fillId="34" borderId="24" xfId="0" applyFont="1" applyFill="1" applyBorder="1" applyAlignment="1">
      <alignment horizontal="center" vertical="center" textRotation="255"/>
    </xf>
    <xf numFmtId="176" fontId="8" fillId="34" borderId="24" xfId="0" applyNumberFormat="1" applyFont="1" applyFill="1" applyBorder="1" applyAlignment="1">
      <alignment horizontal="center" vertical="center"/>
    </xf>
    <xf numFmtId="0" fontId="8" fillId="6" borderId="49" xfId="0" applyFont="1" applyFill="1" applyBorder="1" applyAlignment="1">
      <alignment horizontal="center" vertical="center"/>
    </xf>
    <xf numFmtId="0" fontId="8" fillId="6" borderId="73" xfId="0" applyFont="1" applyFill="1" applyBorder="1" applyAlignment="1">
      <alignment horizontal="center" vertical="center"/>
    </xf>
    <xf numFmtId="0" fontId="12" fillId="6" borderId="74" xfId="0" applyFont="1" applyFill="1" applyBorder="1" applyAlignment="1">
      <alignment horizontal="center" vertical="center"/>
    </xf>
    <xf numFmtId="0" fontId="12" fillId="6" borderId="75" xfId="0" applyFont="1" applyFill="1" applyBorder="1" applyAlignment="1">
      <alignment horizontal="center" vertical="center"/>
    </xf>
    <xf numFmtId="0" fontId="7" fillId="0" borderId="30" xfId="40" applyFont="1" applyFill="1" applyBorder="1" applyAlignment="1">
      <alignment horizontal="center" vertical="center"/>
      <protection/>
    </xf>
    <xf numFmtId="0" fontId="7" fillId="0" borderId="0" xfId="40" applyFont="1" applyFill="1" applyBorder="1" applyAlignment="1">
      <alignment horizontal="center" vertical="center"/>
      <protection/>
    </xf>
    <xf numFmtId="0" fontId="7" fillId="0" borderId="76" xfId="40" applyFont="1" applyFill="1" applyBorder="1" applyAlignment="1">
      <alignment horizontal="center" vertical="center"/>
      <protection/>
    </xf>
    <xf numFmtId="178" fontId="8" fillId="0" borderId="24" xfId="0" applyNumberFormat="1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 textRotation="255"/>
    </xf>
    <xf numFmtId="179" fontId="8" fillId="0" borderId="24" xfId="0" applyNumberFormat="1" applyFont="1" applyFill="1" applyBorder="1" applyAlignment="1">
      <alignment horizontal="center" vertical="center"/>
    </xf>
    <xf numFmtId="0" fontId="7" fillId="6" borderId="77" xfId="0" applyFont="1" applyFill="1" applyBorder="1" applyAlignment="1">
      <alignment horizontal="center" vertical="center" wrapText="1"/>
    </xf>
    <xf numFmtId="0" fontId="7" fillId="6" borderId="78" xfId="0" applyFont="1" applyFill="1" applyBorder="1" applyAlignment="1">
      <alignment horizontal="center" vertical="center" wrapText="1"/>
    </xf>
    <xf numFmtId="0" fontId="7" fillId="6" borderId="79" xfId="0" applyFont="1" applyFill="1" applyBorder="1" applyAlignment="1">
      <alignment horizontal="center" vertical="center" wrapText="1"/>
    </xf>
    <xf numFmtId="0" fontId="7" fillId="0" borderId="80" xfId="42" applyFont="1" applyFill="1" applyBorder="1" applyAlignment="1">
      <alignment horizontal="center" vertical="center" wrapText="1"/>
      <protection/>
    </xf>
    <xf numFmtId="0" fontId="7" fillId="0" borderId="81" xfId="42" applyFont="1" applyFill="1" applyBorder="1" applyAlignment="1">
      <alignment horizontal="center" vertical="center" wrapText="1"/>
      <protection/>
    </xf>
    <xf numFmtId="0" fontId="7" fillId="0" borderId="82" xfId="42" applyFont="1" applyFill="1" applyBorder="1" applyAlignment="1">
      <alignment horizontal="center" vertical="center" wrapText="1"/>
      <protection/>
    </xf>
    <xf numFmtId="177" fontId="8" fillId="0" borderId="24" xfId="0" applyNumberFormat="1" applyFont="1" applyFill="1" applyBorder="1" applyAlignment="1">
      <alignment horizontal="center" vertical="center"/>
    </xf>
    <xf numFmtId="182" fontId="7" fillId="0" borderId="0" xfId="0" applyNumberFormat="1" applyFont="1" applyFill="1" applyAlignment="1">
      <alignment horizontal="left" vertical="center"/>
    </xf>
    <xf numFmtId="0" fontId="7" fillId="0" borderId="62" xfId="0" applyFont="1" applyFill="1" applyBorder="1" applyAlignment="1">
      <alignment horizontal="center" vertical="center" wrapText="1"/>
    </xf>
    <xf numFmtId="0" fontId="7" fillId="0" borderId="83" xfId="0" applyFont="1" applyFill="1" applyBorder="1" applyAlignment="1">
      <alignment horizontal="center" vertical="center" wrapText="1"/>
    </xf>
    <xf numFmtId="0" fontId="7" fillId="0" borderId="84" xfId="0" applyFont="1" applyFill="1" applyBorder="1" applyAlignment="1">
      <alignment horizontal="center" vertical="center" wrapText="1"/>
    </xf>
    <xf numFmtId="0" fontId="7" fillId="34" borderId="63" xfId="0" applyFont="1" applyFill="1" applyBorder="1" applyAlignment="1">
      <alignment horizontal="center" vertical="center" wrapText="1"/>
    </xf>
    <xf numFmtId="0" fontId="7" fillId="34" borderId="70" xfId="0" applyFont="1" applyFill="1" applyBorder="1" applyAlignment="1">
      <alignment horizontal="center" vertical="center" wrapText="1"/>
    </xf>
    <xf numFmtId="0" fontId="7" fillId="6" borderId="85" xfId="0" applyFont="1" applyFill="1" applyBorder="1" applyAlignment="1">
      <alignment horizontal="center" vertical="center" wrapText="1"/>
    </xf>
    <xf numFmtId="0" fontId="7" fillId="6" borderId="86" xfId="0" applyFont="1" applyFill="1" applyBorder="1" applyAlignment="1">
      <alignment horizontal="center" vertical="center" wrapText="1"/>
    </xf>
    <xf numFmtId="0" fontId="7" fillId="6" borderId="87" xfId="0" applyFont="1" applyFill="1" applyBorder="1" applyAlignment="1">
      <alignment horizontal="center" vertical="center" wrapText="1"/>
    </xf>
    <xf numFmtId="0" fontId="8" fillId="6" borderId="88" xfId="0" applyFont="1" applyFill="1" applyBorder="1" applyAlignment="1">
      <alignment horizontal="center" vertical="center"/>
    </xf>
    <xf numFmtId="0" fontId="12" fillId="6" borderId="66" xfId="0" applyFont="1" applyFill="1" applyBorder="1" applyAlignment="1">
      <alignment horizontal="center" vertical="center"/>
    </xf>
    <xf numFmtId="0" fontId="7" fillId="6" borderId="89" xfId="0" applyFont="1" applyFill="1" applyBorder="1" applyAlignment="1">
      <alignment horizontal="center" vertical="center" wrapText="1"/>
    </xf>
    <xf numFmtId="0" fontId="7" fillId="6" borderId="90" xfId="0" applyFont="1" applyFill="1" applyBorder="1" applyAlignment="1">
      <alignment horizontal="center" vertical="center" wrapText="1"/>
    </xf>
    <xf numFmtId="0" fontId="7" fillId="6" borderId="91" xfId="0" applyFont="1" applyFill="1" applyBorder="1" applyAlignment="1">
      <alignment horizontal="center" vertical="center" wrapText="1"/>
    </xf>
    <xf numFmtId="0" fontId="8" fillId="6" borderId="50" xfId="0" applyFont="1" applyFill="1" applyBorder="1" applyAlignment="1">
      <alignment horizontal="center" vertical="center"/>
    </xf>
    <xf numFmtId="0" fontId="8" fillId="6" borderId="92" xfId="0" applyFont="1" applyFill="1" applyBorder="1" applyAlignment="1">
      <alignment horizontal="center" vertical="center"/>
    </xf>
    <xf numFmtId="0" fontId="8" fillId="6" borderId="93" xfId="0" applyFont="1" applyFill="1" applyBorder="1" applyAlignment="1">
      <alignment horizontal="center" vertical="center"/>
    </xf>
    <xf numFmtId="0" fontId="8" fillId="6" borderId="51" xfId="0" applyFont="1" applyFill="1" applyBorder="1" applyAlignment="1">
      <alignment horizontal="center" vertical="center"/>
    </xf>
    <xf numFmtId="0" fontId="8" fillId="6" borderId="94" xfId="0" applyFont="1" applyFill="1" applyBorder="1" applyAlignment="1">
      <alignment horizontal="center" vertical="center"/>
    </xf>
    <xf numFmtId="0" fontId="8" fillId="6" borderId="95" xfId="0" applyFont="1" applyFill="1" applyBorder="1" applyAlignment="1">
      <alignment horizontal="center" vertical="center"/>
    </xf>
    <xf numFmtId="0" fontId="67" fillId="34" borderId="96" xfId="0" applyFont="1" applyFill="1" applyBorder="1" applyAlignment="1">
      <alignment horizontal="center" vertical="center" wrapText="1"/>
    </xf>
    <xf numFmtId="0" fontId="67" fillId="34" borderId="97" xfId="0" applyFont="1" applyFill="1" applyBorder="1" applyAlignment="1">
      <alignment horizontal="center" vertical="center" wrapText="1"/>
    </xf>
    <xf numFmtId="0" fontId="67" fillId="34" borderId="98" xfId="0" applyFont="1" applyFill="1" applyBorder="1" applyAlignment="1">
      <alignment horizontal="center" vertical="center" wrapText="1"/>
    </xf>
    <xf numFmtId="0" fontId="9" fillId="0" borderId="21" xfId="0" applyFont="1" applyBorder="1" applyAlignment="1">
      <alignment horizontal="right" vertical="center"/>
    </xf>
    <xf numFmtId="0" fontId="7" fillId="0" borderId="99" xfId="0" applyFont="1" applyFill="1" applyBorder="1" applyAlignment="1">
      <alignment horizontal="center" vertical="center" wrapText="1"/>
    </xf>
    <xf numFmtId="0" fontId="7" fillId="7" borderId="59" xfId="0" applyFont="1" applyFill="1" applyBorder="1" applyAlignment="1">
      <alignment horizontal="center" vertical="center" wrapText="1"/>
    </xf>
    <xf numFmtId="176" fontId="8" fillId="0" borderId="24" xfId="0" applyNumberFormat="1" applyFont="1" applyFill="1" applyBorder="1" applyAlignment="1">
      <alignment horizontal="center" vertical="center"/>
    </xf>
    <xf numFmtId="0" fontId="7" fillId="0" borderId="100" xfId="0" applyFont="1" applyFill="1" applyBorder="1" applyAlignment="1">
      <alignment horizontal="center" vertical="center" wrapText="1"/>
    </xf>
    <xf numFmtId="0" fontId="7" fillId="0" borderId="101" xfId="42" applyFont="1" applyFill="1" applyBorder="1" applyAlignment="1">
      <alignment horizontal="center" vertical="center" wrapText="1"/>
      <protection/>
    </xf>
    <xf numFmtId="0" fontId="12" fillId="0" borderId="66" xfId="0" applyFont="1" applyFill="1" applyBorder="1" applyAlignment="1">
      <alignment horizontal="center" vertical="center"/>
    </xf>
    <xf numFmtId="0" fontId="12" fillId="0" borderId="102" xfId="0" applyFont="1" applyFill="1" applyBorder="1" applyAlignment="1">
      <alignment horizontal="center" vertical="center"/>
    </xf>
    <xf numFmtId="0" fontId="12" fillId="6" borderId="103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76" xfId="0" applyFont="1" applyFill="1" applyBorder="1" applyAlignment="1">
      <alignment horizontal="center" vertical="center"/>
    </xf>
    <xf numFmtId="0" fontId="67" fillId="0" borderId="30" xfId="0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horizontal="center" vertical="center"/>
    </xf>
    <xf numFmtId="0" fontId="67" fillId="0" borderId="76" xfId="0" applyFont="1" applyFill="1" applyBorder="1" applyAlignment="1">
      <alignment horizontal="center" vertical="center"/>
    </xf>
    <xf numFmtId="0" fontId="7" fillId="7" borderId="96" xfId="0" applyFont="1" applyFill="1" applyBorder="1" applyAlignment="1">
      <alignment horizontal="center" vertical="center" wrapText="1"/>
    </xf>
    <xf numFmtId="0" fontId="7" fillId="7" borderId="23" xfId="0" applyFont="1" applyFill="1" applyBorder="1" applyAlignment="1">
      <alignment horizontal="center" vertical="center" wrapText="1"/>
    </xf>
    <xf numFmtId="0" fontId="8" fillId="0" borderId="104" xfId="0" applyFont="1" applyFill="1" applyBorder="1" applyAlignment="1">
      <alignment horizontal="center" vertical="center" textRotation="255"/>
    </xf>
    <xf numFmtId="0" fontId="8" fillId="0" borderId="68" xfId="0" applyFont="1" applyFill="1" applyBorder="1" applyAlignment="1">
      <alignment horizontal="center" vertical="center" textRotation="255"/>
    </xf>
    <xf numFmtId="178" fontId="8" fillId="0" borderId="105" xfId="0" applyNumberFormat="1" applyFont="1" applyFill="1" applyBorder="1" applyAlignment="1">
      <alignment horizontal="center" vertical="center"/>
    </xf>
    <xf numFmtId="180" fontId="8" fillId="0" borderId="105" xfId="0" applyNumberFormat="1" applyFont="1" applyFill="1" applyBorder="1" applyAlignment="1">
      <alignment horizontal="center" vertical="center"/>
    </xf>
    <xf numFmtId="180" fontId="8" fillId="0" borderId="106" xfId="0" applyNumberFormat="1" applyFont="1" applyFill="1" applyBorder="1" applyAlignment="1">
      <alignment horizontal="center" vertical="center"/>
    </xf>
    <xf numFmtId="0" fontId="9" fillId="0" borderId="72" xfId="0" applyFont="1" applyFill="1" applyBorder="1" applyAlignment="1">
      <alignment horizontal="center" vertical="center"/>
    </xf>
    <xf numFmtId="0" fontId="9" fillId="0" borderId="107" xfId="0" applyFont="1" applyFill="1" applyBorder="1" applyAlignment="1">
      <alignment horizontal="center" vertical="center"/>
    </xf>
    <xf numFmtId="0" fontId="7" fillId="34" borderId="100" xfId="0" applyFont="1" applyFill="1" applyBorder="1" applyAlignment="1">
      <alignment horizontal="center" vertical="center" wrapText="1"/>
    </xf>
    <xf numFmtId="0" fontId="7" fillId="7" borderId="108" xfId="0" applyFont="1" applyFill="1" applyBorder="1" applyAlignment="1">
      <alignment horizontal="center" vertical="center" wrapText="1"/>
    </xf>
    <xf numFmtId="0" fontId="7" fillId="7" borderId="109" xfId="0" applyFont="1" applyFill="1" applyBorder="1" applyAlignment="1">
      <alignment horizontal="center" vertical="center" wrapText="1"/>
    </xf>
    <xf numFmtId="0" fontId="7" fillId="7" borderId="110" xfId="0" applyFont="1" applyFill="1" applyBorder="1" applyAlignment="1">
      <alignment horizontal="center" vertical="center" wrapText="1"/>
    </xf>
    <xf numFmtId="0" fontId="67" fillId="0" borderId="100" xfId="42" applyFont="1" applyFill="1" applyBorder="1" applyAlignment="1">
      <alignment horizontal="center" vertical="center" wrapText="1"/>
      <protection/>
    </xf>
    <xf numFmtId="0" fontId="67" fillId="0" borderId="12" xfId="42" applyFont="1" applyFill="1" applyBorder="1" applyAlignment="1">
      <alignment horizontal="center" vertical="center" wrapText="1"/>
      <protection/>
    </xf>
    <xf numFmtId="0" fontId="7" fillId="34" borderId="101" xfId="0" applyFont="1" applyFill="1" applyBorder="1" applyAlignment="1">
      <alignment horizontal="center" vertical="center" wrapText="1"/>
    </xf>
    <xf numFmtId="0" fontId="7" fillId="34" borderId="81" xfId="0" applyFont="1" applyFill="1" applyBorder="1" applyAlignment="1">
      <alignment horizontal="center" vertical="center" wrapText="1"/>
    </xf>
    <xf numFmtId="0" fontId="7" fillId="34" borderId="111" xfId="0" applyFont="1" applyFill="1" applyBorder="1" applyAlignment="1">
      <alignment horizontal="center" vertical="center" wrapText="1"/>
    </xf>
    <xf numFmtId="0" fontId="7" fillId="7" borderId="112" xfId="0" applyFont="1" applyFill="1" applyBorder="1" applyAlignment="1">
      <alignment horizontal="center" vertical="center" wrapText="1"/>
    </xf>
    <xf numFmtId="0" fontId="7" fillId="7" borderId="113" xfId="0" applyFont="1" applyFill="1" applyBorder="1" applyAlignment="1">
      <alignment horizontal="center" vertical="center" wrapText="1"/>
    </xf>
    <xf numFmtId="0" fontId="7" fillId="7" borderId="114" xfId="0" applyFont="1" applyFill="1" applyBorder="1" applyAlignment="1">
      <alignment horizontal="center" vertical="center" wrapText="1"/>
    </xf>
    <xf numFmtId="0" fontId="7" fillId="7" borderId="115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/>
    </xf>
    <xf numFmtId="0" fontId="7" fillId="7" borderId="68" xfId="0" applyFont="1" applyFill="1" applyBorder="1" applyAlignment="1">
      <alignment horizontal="center" vertical="center" wrapText="1"/>
    </xf>
    <xf numFmtId="0" fontId="8" fillId="0" borderId="96" xfId="0" applyFont="1" applyFill="1" applyBorder="1" applyAlignment="1">
      <alignment horizontal="center" vertical="center" textRotation="255"/>
    </xf>
    <xf numFmtId="176" fontId="8" fillId="0" borderId="105" xfId="0" applyNumberFormat="1" applyFont="1" applyFill="1" applyBorder="1" applyAlignment="1">
      <alignment horizontal="center" vertical="center"/>
    </xf>
    <xf numFmtId="0" fontId="8" fillId="0" borderId="105" xfId="0" applyFont="1" applyFill="1" applyBorder="1" applyAlignment="1">
      <alignment horizontal="center" vertical="center" textRotation="255"/>
    </xf>
    <xf numFmtId="179" fontId="8" fillId="0" borderId="105" xfId="0" applyNumberFormat="1" applyFont="1" applyFill="1" applyBorder="1" applyAlignment="1">
      <alignment horizontal="center" vertical="center"/>
    </xf>
    <xf numFmtId="177" fontId="8" fillId="0" borderId="105" xfId="0" applyNumberFormat="1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12" xfId="0" applyFont="1" applyFill="1" applyBorder="1" applyAlignment="1">
      <alignment horizontal="center" vertical="center" wrapText="1"/>
    </xf>
    <xf numFmtId="0" fontId="7" fillId="34" borderId="12" xfId="42" applyFont="1" applyFill="1" applyBorder="1" applyAlignment="1">
      <alignment horizontal="center" vertical="center" wrapText="1"/>
      <protection/>
    </xf>
    <xf numFmtId="0" fontId="7" fillId="0" borderId="70" xfId="42" applyFont="1" applyFill="1" applyBorder="1" applyAlignment="1">
      <alignment horizontal="center" vertical="center" wrapText="1"/>
      <protection/>
    </xf>
    <xf numFmtId="0" fontId="7" fillId="0" borderId="100" xfId="42" applyFont="1" applyFill="1" applyBorder="1" applyAlignment="1">
      <alignment horizontal="center" vertical="center" wrapText="1"/>
      <protection/>
    </xf>
    <xf numFmtId="184" fontId="8" fillId="0" borderId="23" xfId="0" applyNumberFormat="1" applyFont="1" applyFill="1" applyBorder="1" applyAlignment="1">
      <alignment horizontal="center" vertical="center"/>
    </xf>
    <xf numFmtId="184" fontId="8" fillId="0" borderId="20" xfId="0" applyNumberFormat="1" applyFont="1" applyFill="1" applyBorder="1" applyAlignment="1">
      <alignment horizontal="center" vertical="center"/>
    </xf>
    <xf numFmtId="184" fontId="8" fillId="0" borderId="19" xfId="0" applyNumberFormat="1" applyFont="1" applyFill="1" applyBorder="1" applyAlignment="1">
      <alignment horizontal="center" vertical="center"/>
    </xf>
    <xf numFmtId="0" fontId="7" fillId="6" borderId="116" xfId="0" applyFont="1" applyFill="1" applyBorder="1" applyAlignment="1">
      <alignment horizontal="center" vertical="center" wrapText="1"/>
    </xf>
    <xf numFmtId="0" fontId="7" fillId="6" borderId="117" xfId="0" applyFont="1" applyFill="1" applyBorder="1" applyAlignment="1">
      <alignment horizontal="center" vertical="center" wrapText="1"/>
    </xf>
    <xf numFmtId="0" fontId="7" fillId="6" borderId="118" xfId="0" applyFont="1" applyFill="1" applyBorder="1" applyAlignment="1">
      <alignment horizontal="center" vertical="center" wrapText="1"/>
    </xf>
    <xf numFmtId="0" fontId="7" fillId="34" borderId="119" xfId="0" applyFont="1" applyFill="1" applyBorder="1" applyAlignment="1">
      <alignment horizontal="center" vertical="center" wrapText="1"/>
    </xf>
    <xf numFmtId="0" fontId="65" fillId="0" borderId="100" xfId="42" applyFont="1" applyFill="1" applyBorder="1" applyAlignment="1">
      <alignment horizontal="center" vertical="center" wrapText="1"/>
      <protection/>
    </xf>
    <xf numFmtId="0" fontId="65" fillId="0" borderId="12" xfId="42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 horizontal="center" vertical="center"/>
    </xf>
    <xf numFmtId="0" fontId="6" fillId="0" borderId="48" xfId="0" applyFont="1" applyBorder="1" applyAlignment="1">
      <alignment horizontal="left" vertical="center"/>
    </xf>
  </cellXfs>
  <cellStyles count="6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2 2 2" xfId="34"/>
    <cellStyle name="一般 3 2" xfId="35"/>
    <cellStyle name="一般 3 2 3" xfId="36"/>
    <cellStyle name="一般 3 2 4 2" xfId="37"/>
    <cellStyle name="一般 3 3 2" xfId="38"/>
    <cellStyle name="一般 5" xfId="39"/>
    <cellStyle name="一般 6 2" xfId="40"/>
    <cellStyle name="一般 6 2 2" xfId="41"/>
    <cellStyle name="一般 7" xfId="42"/>
    <cellStyle name="一般 7 3" xfId="43"/>
    <cellStyle name="一般 7 3 2" xfId="44"/>
    <cellStyle name="一般 7 3 4 2" xfId="45"/>
    <cellStyle name="一般 8 2" xfId="46"/>
    <cellStyle name="Comma" xfId="47"/>
    <cellStyle name="Comma [0]" xfId="48"/>
    <cellStyle name="中等" xfId="49"/>
    <cellStyle name="合計" xfId="50"/>
    <cellStyle name="好" xfId="51"/>
    <cellStyle name="Percent" xfId="52"/>
    <cellStyle name="計算方式" xfId="53"/>
    <cellStyle name="Currency" xfId="54"/>
    <cellStyle name="Currency [0]" xfId="55"/>
    <cellStyle name="連結的儲存格" xfId="56"/>
    <cellStyle name="備註" xfId="57"/>
    <cellStyle name="說明文字" xfId="58"/>
    <cellStyle name="輔色1" xfId="59"/>
    <cellStyle name="輔色2" xfId="60"/>
    <cellStyle name="輔色3" xfId="61"/>
    <cellStyle name="輔色4" xfId="62"/>
    <cellStyle name="輔色5" xfId="63"/>
    <cellStyle name="輔色6" xfId="64"/>
    <cellStyle name="標題" xfId="65"/>
    <cellStyle name="標題 1" xfId="66"/>
    <cellStyle name="標題 2" xfId="67"/>
    <cellStyle name="標題 3" xfId="68"/>
    <cellStyle name="標題 4" xfId="69"/>
    <cellStyle name="輸入" xfId="70"/>
    <cellStyle name="輸出" xfId="71"/>
    <cellStyle name="檢查儲存格" xfId="72"/>
    <cellStyle name="壞" xfId="73"/>
    <cellStyle name="警告文字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ackup\&#29151;&#39178;&#32068;\&#21320;&#39184;&#31192;&#26360;\d\&#36039;&#26009;\&#33756;&#21934;\109&#23416;&#24180;\110&#24180;3&#26376;\&#20689;&#24859;&#24188;&#40670;&#24515;_110.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25105;&#30340;&#38642;&#31471;&#30828;&#30879;\&#33756;&#21934;\111&#23416;&#24180;\10&#26376;\&#20689;&#24859;&#24188;&#40670;&#24515;_111.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25105;&#30340;&#38642;&#31471;&#30828;&#30879;\&#33756;&#21934;\111&#23416;&#24180;\11&#26376;\&#20689;&#24859;&#24188;&#40670;&#24515;_111.11&#25209;&#2072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一周"/>
      <sheetName val="第二週"/>
      <sheetName val="第三周 "/>
      <sheetName val="第四周"/>
      <sheetName val="第五周"/>
      <sheetName val="總表"/>
    </sheetNames>
    <sheetDataSet>
      <sheetData sheetId="4">
        <row r="1">
          <cell r="O1">
            <v>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9月第五周"/>
      <sheetName val="第一周"/>
      <sheetName val="第二週"/>
      <sheetName val="第三周 "/>
      <sheetName val="第四周"/>
      <sheetName val="第五周"/>
      <sheetName val="總表"/>
    </sheetNames>
    <sheetDataSet>
      <sheetData sheetId="3">
        <row r="1">
          <cell r="A1" t="str">
            <v>僑愛國民小學111學年度上學期第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第一周"/>
      <sheetName val="第二週"/>
      <sheetName val="第三周 "/>
      <sheetName val="第四周"/>
      <sheetName val="第五周"/>
      <sheetName val="總表"/>
    </sheetNames>
    <sheetDataSet>
      <sheetData sheetId="3">
        <row r="1">
          <cell r="O1">
            <v>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宣紙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W35"/>
  <sheetViews>
    <sheetView view="pageBreakPreview" zoomScale="70" zoomScaleSheetLayoutView="70" workbookViewId="0" topLeftCell="A1">
      <selection activeCell="W22" sqref="W22:Z23"/>
    </sheetView>
  </sheetViews>
  <sheetFormatPr defaultColWidth="6.125" defaultRowHeight="16.5"/>
  <cols>
    <col min="1" max="1" width="3.75390625" style="67" customWidth="1"/>
    <col min="2" max="2" width="18.375" style="68" customWidth="1"/>
    <col min="3" max="3" width="6.125" style="68" customWidth="1"/>
    <col min="4" max="5" width="5.625" style="68" customWidth="1"/>
    <col min="6" max="6" width="6.125" style="69" customWidth="1"/>
    <col min="7" max="7" width="6.125" style="70" customWidth="1"/>
    <col min="8" max="8" width="3.625" style="67" customWidth="1"/>
    <col min="9" max="9" width="18.625" style="68" customWidth="1"/>
    <col min="10" max="10" width="6.125" style="68" customWidth="1"/>
    <col min="11" max="12" width="5.625" style="68" customWidth="1"/>
    <col min="13" max="13" width="6.125" style="69" customWidth="1"/>
    <col min="14" max="14" width="6.125" style="70" customWidth="1"/>
    <col min="15" max="15" width="3.875" style="67" customWidth="1"/>
    <col min="16" max="16" width="19.125" style="68" customWidth="1"/>
    <col min="17" max="17" width="6.125" style="68" customWidth="1"/>
    <col min="18" max="19" width="5.625" style="68" customWidth="1"/>
    <col min="20" max="20" width="6.125" style="69" customWidth="1"/>
    <col min="21" max="21" width="6.125" style="70" customWidth="1"/>
    <col min="22" max="22" width="3.625" style="71" customWidth="1"/>
    <col min="23" max="23" width="16.125" style="68" customWidth="1"/>
    <col min="24" max="24" width="6.125" style="68" customWidth="1"/>
    <col min="25" max="26" width="5.625" style="68" customWidth="1"/>
    <col min="27" max="27" width="6.125" style="69" customWidth="1"/>
    <col min="28" max="28" width="6.125" style="70" customWidth="1"/>
    <col min="29" max="29" width="4.125" style="67" customWidth="1"/>
    <col min="30" max="30" width="16.125" style="68" customWidth="1"/>
    <col min="31" max="31" width="6.125" style="68" customWidth="1"/>
    <col min="32" max="33" width="5.625" style="68" customWidth="1"/>
    <col min="34" max="34" width="6.125" style="72" customWidth="1"/>
    <col min="35" max="35" width="6.125" style="70" customWidth="1"/>
    <col min="36" max="36" width="7.50390625" style="73" bestFit="1" customWidth="1"/>
    <col min="37" max="37" width="7.25390625" style="73" bestFit="1" customWidth="1"/>
    <col min="38" max="16384" width="6.125" style="73" customWidth="1"/>
  </cols>
  <sheetData>
    <row r="1" spans="1:35" s="90" customFormat="1" ht="30" customHeight="1">
      <c r="A1" s="322" t="str">
        <f>'[2]第三周 '!A1:L1</f>
        <v>僑愛國民小學111學年度上學期第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232">
        <f>'[3]第四周'!O1+1</f>
        <v>14</v>
      </c>
      <c r="P1" s="233" t="s">
        <v>222</v>
      </c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  <c r="AC1" s="233"/>
      <c r="AD1" s="233"/>
      <c r="AE1" s="89">
        <v>72</v>
      </c>
      <c r="AF1" s="89">
        <v>72</v>
      </c>
      <c r="AG1" s="89"/>
      <c r="AH1" s="89"/>
      <c r="AI1" s="89"/>
    </row>
    <row r="2" spans="1:36" s="40" customFormat="1" ht="18.75" customHeight="1">
      <c r="A2" s="280" t="s">
        <v>27</v>
      </c>
      <c r="B2" s="281">
        <v>44893</v>
      </c>
      <c r="C2" s="281"/>
      <c r="D2" s="281"/>
      <c r="E2" s="281"/>
      <c r="F2" s="30"/>
      <c r="G2" s="31"/>
      <c r="H2" s="278" t="s">
        <v>27</v>
      </c>
      <c r="I2" s="298">
        <f>B2+1</f>
        <v>44894</v>
      </c>
      <c r="J2" s="298"/>
      <c r="K2" s="298"/>
      <c r="L2" s="298"/>
      <c r="M2" s="32"/>
      <c r="N2" s="33"/>
      <c r="O2" s="290" t="s">
        <v>27</v>
      </c>
      <c r="P2" s="289">
        <f>I2+1</f>
        <v>44895</v>
      </c>
      <c r="Q2" s="289"/>
      <c r="R2" s="289"/>
      <c r="S2" s="289"/>
      <c r="T2" s="34"/>
      <c r="U2" s="35"/>
      <c r="V2" s="290" t="s">
        <v>27</v>
      </c>
      <c r="W2" s="291">
        <f>P2+1</f>
        <v>44896</v>
      </c>
      <c r="X2" s="291"/>
      <c r="Y2" s="291"/>
      <c r="Z2" s="291"/>
      <c r="AA2" s="36"/>
      <c r="AB2" s="37"/>
      <c r="AC2" s="290" t="s">
        <v>27</v>
      </c>
      <c r="AD2" s="263">
        <f>W2+1</f>
        <v>44897</v>
      </c>
      <c r="AE2" s="263"/>
      <c r="AF2" s="263"/>
      <c r="AG2" s="264"/>
      <c r="AH2" s="187"/>
      <c r="AI2" s="193"/>
      <c r="AJ2" s="39"/>
    </row>
    <row r="3" spans="1:36" s="40" customFormat="1" ht="18.75" customHeight="1">
      <c r="A3" s="280"/>
      <c r="B3" s="197" t="s">
        <v>28</v>
      </c>
      <c r="C3" s="197" t="s">
        <v>29</v>
      </c>
      <c r="D3" s="236" t="s">
        <v>30</v>
      </c>
      <c r="E3" s="236" t="s">
        <v>31</v>
      </c>
      <c r="F3" s="43" t="s">
        <v>32</v>
      </c>
      <c r="G3" s="41" t="s">
        <v>33</v>
      </c>
      <c r="H3" s="278"/>
      <c r="I3" s="41" t="s">
        <v>28</v>
      </c>
      <c r="J3" s="41" t="s">
        <v>29</v>
      </c>
      <c r="K3" s="42" t="s">
        <v>30</v>
      </c>
      <c r="L3" s="42" t="s">
        <v>31</v>
      </c>
      <c r="M3" s="43" t="s">
        <v>32</v>
      </c>
      <c r="N3" s="44" t="s">
        <v>33</v>
      </c>
      <c r="O3" s="290"/>
      <c r="P3" s="41" t="s">
        <v>28</v>
      </c>
      <c r="Q3" s="41" t="s">
        <v>29</v>
      </c>
      <c r="R3" s="42" t="s">
        <v>30</v>
      </c>
      <c r="S3" s="42" t="s">
        <v>31</v>
      </c>
      <c r="T3" s="43" t="s">
        <v>32</v>
      </c>
      <c r="U3" s="44" t="s">
        <v>33</v>
      </c>
      <c r="V3" s="290"/>
      <c r="W3" s="41" t="s">
        <v>28</v>
      </c>
      <c r="X3" s="41" t="s">
        <v>29</v>
      </c>
      <c r="Y3" s="42" t="s">
        <v>30</v>
      </c>
      <c r="Z3" s="42" t="s">
        <v>31</v>
      </c>
      <c r="AA3" s="43" t="s">
        <v>32</v>
      </c>
      <c r="AB3" s="44" t="s">
        <v>33</v>
      </c>
      <c r="AC3" s="290"/>
      <c r="AD3" s="41" t="s">
        <v>28</v>
      </c>
      <c r="AE3" s="41" t="s">
        <v>29</v>
      </c>
      <c r="AF3" s="42" t="s">
        <v>30</v>
      </c>
      <c r="AG3" s="188" t="s">
        <v>31</v>
      </c>
      <c r="AH3" s="54" t="s">
        <v>32</v>
      </c>
      <c r="AI3" s="194" t="s">
        <v>33</v>
      </c>
      <c r="AJ3" s="239" t="s">
        <v>33</v>
      </c>
    </row>
    <row r="4" spans="1:36" s="50" customFormat="1" ht="18.75" customHeight="1" hidden="1">
      <c r="A4" s="280"/>
      <c r="B4" s="261" t="s">
        <v>34</v>
      </c>
      <c r="C4" s="261"/>
      <c r="D4" s="261"/>
      <c r="E4" s="261"/>
      <c r="F4" s="45"/>
      <c r="G4" s="46"/>
      <c r="H4" s="278"/>
      <c r="I4" s="262" t="s">
        <v>35</v>
      </c>
      <c r="J4" s="262"/>
      <c r="K4" s="262"/>
      <c r="L4" s="262"/>
      <c r="M4" s="45"/>
      <c r="N4" s="47"/>
      <c r="O4" s="290"/>
      <c r="P4" s="262" t="s">
        <v>36</v>
      </c>
      <c r="Q4" s="262"/>
      <c r="R4" s="262"/>
      <c r="S4" s="262"/>
      <c r="T4" s="43"/>
      <c r="U4" s="48"/>
      <c r="V4" s="290"/>
      <c r="W4" s="262" t="s">
        <v>37</v>
      </c>
      <c r="X4" s="262"/>
      <c r="Y4" s="262"/>
      <c r="Z4" s="262"/>
      <c r="AA4" s="45"/>
      <c r="AB4" s="47"/>
      <c r="AC4" s="290"/>
      <c r="AD4" s="270" t="s">
        <v>38</v>
      </c>
      <c r="AE4" s="270"/>
      <c r="AF4" s="270"/>
      <c r="AG4" s="271"/>
      <c r="AH4" s="45"/>
      <c r="AI4" s="195"/>
      <c r="AJ4" s="47"/>
    </row>
    <row r="5" spans="1:36" s="50" customFormat="1" ht="18.75" customHeight="1">
      <c r="A5" s="277" t="s">
        <v>39</v>
      </c>
      <c r="B5" s="273"/>
      <c r="C5" s="273"/>
      <c r="D5" s="273"/>
      <c r="E5" s="273"/>
      <c r="F5" s="85"/>
      <c r="G5" s="86"/>
      <c r="H5" s="277" t="s">
        <v>39</v>
      </c>
      <c r="I5" s="273"/>
      <c r="J5" s="273"/>
      <c r="K5" s="273"/>
      <c r="L5" s="273"/>
      <c r="M5" s="85"/>
      <c r="N5" s="87"/>
      <c r="O5" s="272" t="s">
        <v>39</v>
      </c>
      <c r="P5" s="273"/>
      <c r="Q5" s="273"/>
      <c r="R5" s="273"/>
      <c r="S5" s="273"/>
      <c r="T5" s="85"/>
      <c r="U5" s="87"/>
      <c r="V5" s="272" t="s">
        <v>39</v>
      </c>
      <c r="W5" s="273"/>
      <c r="X5" s="273"/>
      <c r="Y5" s="273"/>
      <c r="Z5" s="273"/>
      <c r="AA5" s="85"/>
      <c r="AB5" s="87"/>
      <c r="AC5" s="272" t="s">
        <v>39</v>
      </c>
      <c r="AD5" s="273"/>
      <c r="AE5" s="273"/>
      <c r="AF5" s="273"/>
      <c r="AG5" s="274"/>
      <c r="AH5" s="45"/>
      <c r="AI5" s="195"/>
      <c r="AJ5" s="47"/>
    </row>
    <row r="6" spans="1:36" s="50" customFormat="1" ht="18.75" customHeight="1">
      <c r="A6" s="266" t="s">
        <v>235</v>
      </c>
      <c r="B6" s="21" t="s">
        <v>167</v>
      </c>
      <c r="C6" s="21">
        <v>1.5</v>
      </c>
      <c r="D6" s="75">
        <f>ROUND($AF$1*C6/40,0)</f>
        <v>3</v>
      </c>
      <c r="E6" s="123" t="s">
        <v>22</v>
      </c>
      <c r="F6" s="51"/>
      <c r="G6" s="52">
        <f aca="true" t="shared" si="0" ref="G6:G11">D6*F6</f>
        <v>0</v>
      </c>
      <c r="H6" s="266" t="s">
        <v>236</v>
      </c>
      <c r="I6" s="21" t="s">
        <v>237</v>
      </c>
      <c r="J6" s="21">
        <v>42</v>
      </c>
      <c r="K6" s="21">
        <f aca="true" t="shared" si="1" ref="K6:K11">ROUND($AF$1*J6/1000,1)</f>
        <v>3</v>
      </c>
      <c r="L6" s="21" t="s">
        <v>2</v>
      </c>
      <c r="M6" s="240"/>
      <c r="N6" s="52">
        <f>K6*M6</f>
        <v>0</v>
      </c>
      <c r="O6" s="268" t="s">
        <v>111</v>
      </c>
      <c r="P6" s="56" t="s">
        <v>113</v>
      </c>
      <c r="Q6" s="56">
        <v>40</v>
      </c>
      <c r="R6" s="75" t="s">
        <v>23</v>
      </c>
      <c r="S6" s="123" t="s">
        <v>0</v>
      </c>
      <c r="T6" s="54"/>
      <c r="U6" s="48" t="e">
        <f>R6*T6</f>
        <v>#VALUE!</v>
      </c>
      <c r="V6" s="266" t="s">
        <v>216</v>
      </c>
      <c r="W6" s="57" t="s">
        <v>75</v>
      </c>
      <c r="X6" s="22">
        <v>0.85</v>
      </c>
      <c r="Y6" s="75">
        <f>ROUND($AF$1*X6/20,0)</f>
        <v>3</v>
      </c>
      <c r="Z6" s="23" t="s">
        <v>76</v>
      </c>
      <c r="AA6" s="54"/>
      <c r="AB6" s="52">
        <f>Y6*AA6</f>
        <v>0</v>
      </c>
      <c r="AC6" s="319" t="s">
        <v>223</v>
      </c>
      <c r="AD6" s="56" t="s">
        <v>224</v>
      </c>
      <c r="AE6" s="56">
        <v>75</v>
      </c>
      <c r="AF6" s="75">
        <f>ROUND($AF$1*AE6/1000,0)</f>
        <v>5</v>
      </c>
      <c r="AG6" s="123" t="s">
        <v>0</v>
      </c>
      <c r="AH6" s="54"/>
      <c r="AI6" s="188">
        <f>AF6*AH6</f>
        <v>0</v>
      </c>
      <c r="AJ6" s="52" t="e">
        <f>#REF!*#REF!</f>
        <v>#REF!</v>
      </c>
    </row>
    <row r="7" spans="1:36" s="50" customFormat="1" ht="18.75" customHeight="1">
      <c r="A7" s="267"/>
      <c r="B7" s="21" t="s">
        <v>166</v>
      </c>
      <c r="C7" s="22"/>
      <c r="D7" s="75"/>
      <c r="E7" s="23"/>
      <c r="F7" s="51"/>
      <c r="G7" s="52">
        <f t="shared" si="0"/>
        <v>0</v>
      </c>
      <c r="H7" s="267"/>
      <c r="I7" s="21" t="s">
        <v>238</v>
      </c>
      <c r="J7" s="21">
        <v>13.5</v>
      </c>
      <c r="K7" s="21">
        <f t="shared" si="1"/>
        <v>1</v>
      </c>
      <c r="L7" s="21" t="s">
        <v>2</v>
      </c>
      <c r="M7" s="240"/>
      <c r="N7" s="52"/>
      <c r="O7" s="269"/>
      <c r="P7" s="203" t="s">
        <v>112</v>
      </c>
      <c r="Q7" s="56">
        <v>10</v>
      </c>
      <c r="R7" s="75" t="s">
        <v>23</v>
      </c>
      <c r="S7" s="94" t="s">
        <v>0</v>
      </c>
      <c r="T7" s="54"/>
      <c r="U7" s="48" t="e">
        <f>R7*T7</f>
        <v>#VALUE!</v>
      </c>
      <c r="V7" s="267"/>
      <c r="W7" s="57" t="s">
        <v>165</v>
      </c>
      <c r="X7" s="22">
        <v>0.4</v>
      </c>
      <c r="Y7" s="75">
        <f>ROUND($AF$1*X7/10,0)</f>
        <v>3</v>
      </c>
      <c r="Z7" s="23" t="s">
        <v>76</v>
      </c>
      <c r="AA7" s="54"/>
      <c r="AB7" s="52">
        <f>Y7*AA7*65/1000</f>
        <v>0</v>
      </c>
      <c r="AC7" s="320"/>
      <c r="AD7" s="56" t="s">
        <v>106</v>
      </c>
      <c r="AE7" s="56">
        <v>16.5</v>
      </c>
      <c r="AF7" s="75">
        <v>3</v>
      </c>
      <c r="AG7" s="94" t="s">
        <v>0</v>
      </c>
      <c r="AH7" s="54"/>
      <c r="AI7" s="188"/>
      <c r="AJ7" s="52" t="e">
        <f>#REF!*#REF!</f>
        <v>#REF!</v>
      </c>
    </row>
    <row r="8" spans="1:36" s="50" customFormat="1" ht="18.75" customHeight="1">
      <c r="A8" s="267"/>
      <c r="B8" s="21" t="s">
        <v>41</v>
      </c>
      <c r="C8" s="22">
        <v>0.5</v>
      </c>
      <c r="D8" s="75">
        <f>ROUND($AF$1*C8,1)</f>
        <v>36</v>
      </c>
      <c r="E8" s="23" t="s">
        <v>59</v>
      </c>
      <c r="F8" s="51"/>
      <c r="G8" s="52">
        <f t="shared" si="0"/>
        <v>0</v>
      </c>
      <c r="H8" s="267"/>
      <c r="I8" s="21" t="s">
        <v>79</v>
      </c>
      <c r="J8" s="21">
        <v>1.5</v>
      </c>
      <c r="K8" s="21">
        <f t="shared" si="1"/>
        <v>0.1</v>
      </c>
      <c r="L8" s="21" t="s">
        <v>2</v>
      </c>
      <c r="M8" s="240"/>
      <c r="N8" s="52"/>
      <c r="O8" s="269"/>
      <c r="P8" s="56" t="s">
        <v>110</v>
      </c>
      <c r="Q8" s="56">
        <v>30</v>
      </c>
      <c r="R8" s="75">
        <f>ROUND($AF$1*Q8/1000,1)</f>
        <v>2.2</v>
      </c>
      <c r="S8" s="94" t="s">
        <v>0</v>
      </c>
      <c r="T8" s="54"/>
      <c r="U8" s="48"/>
      <c r="V8" s="267"/>
      <c r="W8" s="21" t="s">
        <v>41</v>
      </c>
      <c r="X8" s="22">
        <v>0.5</v>
      </c>
      <c r="Y8" s="75">
        <f>ROUND($AF$1*X8,1)</f>
        <v>36</v>
      </c>
      <c r="Z8" s="23" t="s">
        <v>59</v>
      </c>
      <c r="AA8" s="54"/>
      <c r="AB8" s="52">
        <f>Y8*AA8</f>
        <v>0</v>
      </c>
      <c r="AC8" s="320"/>
      <c r="AD8" s="56" t="s">
        <v>72</v>
      </c>
      <c r="AE8" s="56">
        <v>8</v>
      </c>
      <c r="AF8" s="75">
        <f aca="true" t="shared" si="2" ref="AF8:AF14">ROUND($AF$1*AE8/1000,1)</f>
        <v>0.6</v>
      </c>
      <c r="AG8" s="94" t="s">
        <v>0</v>
      </c>
      <c r="AH8" s="54"/>
      <c r="AI8" s="188">
        <f>AF8*AH8*65/1000</f>
        <v>0</v>
      </c>
      <c r="AJ8" s="52" t="e">
        <f>#REF!*#REF!</f>
        <v>#REF!</v>
      </c>
    </row>
    <row r="9" spans="1:36" s="50" customFormat="1" ht="18.75" customHeight="1">
      <c r="A9" s="267"/>
      <c r="B9" s="21" t="s">
        <v>3</v>
      </c>
      <c r="C9" s="21">
        <v>5</v>
      </c>
      <c r="D9" s="75">
        <f>ROUND($AF$1*C9/1000,1)</f>
        <v>0.4</v>
      </c>
      <c r="E9" s="74" t="s">
        <v>0</v>
      </c>
      <c r="F9" s="157"/>
      <c r="G9" s="52">
        <f t="shared" si="0"/>
        <v>0</v>
      </c>
      <c r="H9" s="267"/>
      <c r="I9" s="21" t="s">
        <v>192</v>
      </c>
      <c r="J9" s="21">
        <v>5</v>
      </c>
      <c r="K9" s="21">
        <f t="shared" si="1"/>
        <v>0.4</v>
      </c>
      <c r="L9" s="21" t="s">
        <v>2</v>
      </c>
      <c r="M9" s="240"/>
      <c r="N9" s="52">
        <f>K9*M9</f>
        <v>0</v>
      </c>
      <c r="O9" s="269"/>
      <c r="P9" s="56" t="s">
        <v>70</v>
      </c>
      <c r="Q9" s="56">
        <v>6</v>
      </c>
      <c r="R9" s="75">
        <f>ROUND($AF$1*Q9/1000,1)</f>
        <v>0.4</v>
      </c>
      <c r="S9" s="94" t="s">
        <v>0</v>
      </c>
      <c r="T9" s="54"/>
      <c r="U9" s="48">
        <f>R9*T9</f>
        <v>0</v>
      </c>
      <c r="V9" s="267"/>
      <c r="W9" s="21" t="s">
        <v>1</v>
      </c>
      <c r="X9" s="21">
        <v>30</v>
      </c>
      <c r="Y9" s="75">
        <f>ROUND($AF$1*X9/1000,1)</f>
        <v>2.2</v>
      </c>
      <c r="Z9" s="74" t="s">
        <v>0</v>
      </c>
      <c r="AA9" s="54"/>
      <c r="AB9" s="52"/>
      <c r="AC9" s="320"/>
      <c r="AD9" s="56" t="s">
        <v>71</v>
      </c>
      <c r="AE9" s="56">
        <v>8.5</v>
      </c>
      <c r="AF9" s="75">
        <f t="shared" si="2"/>
        <v>0.6</v>
      </c>
      <c r="AG9" s="94" t="s">
        <v>0</v>
      </c>
      <c r="AH9" s="54"/>
      <c r="AI9" s="188">
        <f aca="true" t="shared" si="3" ref="AI9:AI20">AF9*AH9</f>
        <v>0</v>
      </c>
      <c r="AJ9" s="52" t="e">
        <f>#REF!*#REF!</f>
        <v>#REF!</v>
      </c>
    </row>
    <row r="10" spans="1:36" s="50" customFormat="1" ht="18.75" customHeight="1">
      <c r="A10" s="267"/>
      <c r="B10" s="21"/>
      <c r="C10" s="21"/>
      <c r="D10" s="75"/>
      <c r="E10" s="75"/>
      <c r="F10" s="157"/>
      <c r="G10" s="52">
        <f t="shared" si="0"/>
        <v>0</v>
      </c>
      <c r="H10" s="267"/>
      <c r="I10" s="21" t="s">
        <v>239</v>
      </c>
      <c r="J10" s="21">
        <v>75</v>
      </c>
      <c r="K10" s="21">
        <f>ROUND($AF$1*J10/1000,0)</f>
        <v>5</v>
      </c>
      <c r="L10" s="21" t="s">
        <v>2</v>
      </c>
      <c r="M10" s="240"/>
      <c r="N10" s="52"/>
      <c r="O10" s="269"/>
      <c r="P10" s="151" t="s">
        <v>88</v>
      </c>
      <c r="Q10" s="56">
        <v>3</v>
      </c>
      <c r="R10" s="75">
        <f>ROUND($AF$1*Q10/1000,1)</f>
        <v>0.2</v>
      </c>
      <c r="S10" s="94" t="s">
        <v>0</v>
      </c>
      <c r="T10" s="54"/>
      <c r="U10" s="48">
        <f>R10*T10</f>
        <v>0</v>
      </c>
      <c r="V10" s="267"/>
      <c r="W10" s="21"/>
      <c r="X10" s="22"/>
      <c r="Y10" s="75"/>
      <c r="Z10" s="74"/>
      <c r="AA10" s="54"/>
      <c r="AB10" s="52"/>
      <c r="AC10" s="320"/>
      <c r="AD10" s="56" t="s">
        <v>74</v>
      </c>
      <c r="AE10" s="56">
        <v>2.5</v>
      </c>
      <c r="AF10" s="75">
        <f t="shared" si="2"/>
        <v>0.2</v>
      </c>
      <c r="AG10" s="94" t="s">
        <v>0</v>
      </c>
      <c r="AH10" s="54"/>
      <c r="AI10" s="188">
        <f t="shared" si="3"/>
        <v>0</v>
      </c>
      <c r="AJ10" s="52" t="e">
        <f>#REF!*#REF!</f>
        <v>#REF!</v>
      </c>
    </row>
    <row r="11" spans="1:36" s="50" customFormat="1" ht="18.75" customHeight="1">
      <c r="A11" s="267"/>
      <c r="B11" s="76" t="s">
        <v>240</v>
      </c>
      <c r="C11" s="55">
        <v>80</v>
      </c>
      <c r="D11" s="75">
        <f>ROUND($AF$1*C11/1000,0)</f>
        <v>6</v>
      </c>
      <c r="E11" s="74" t="s">
        <v>21</v>
      </c>
      <c r="F11" s="157"/>
      <c r="G11" s="52">
        <f t="shared" si="0"/>
        <v>0</v>
      </c>
      <c r="H11" s="267"/>
      <c r="I11" s="21" t="s">
        <v>1</v>
      </c>
      <c r="J11" s="21">
        <v>30</v>
      </c>
      <c r="K11" s="21">
        <f t="shared" si="1"/>
        <v>2.2</v>
      </c>
      <c r="L11" s="21" t="s">
        <v>2</v>
      </c>
      <c r="M11" s="240"/>
      <c r="N11" s="52">
        <f>K11*M11</f>
        <v>0</v>
      </c>
      <c r="O11" s="269"/>
      <c r="P11" s="56" t="s">
        <v>162</v>
      </c>
      <c r="Q11" s="56">
        <v>2.5</v>
      </c>
      <c r="R11" s="75" t="s">
        <v>23</v>
      </c>
      <c r="S11" s="94" t="s">
        <v>0</v>
      </c>
      <c r="T11" s="54"/>
      <c r="U11" s="48"/>
      <c r="V11" s="267"/>
      <c r="W11" s="21"/>
      <c r="X11" s="21"/>
      <c r="Y11" s="75"/>
      <c r="Z11" s="74"/>
      <c r="AA11" s="54"/>
      <c r="AB11" s="52"/>
      <c r="AC11" s="320"/>
      <c r="AD11" s="56" t="s">
        <v>87</v>
      </c>
      <c r="AE11" s="56">
        <v>0.5</v>
      </c>
      <c r="AF11" s="75" t="s">
        <v>23</v>
      </c>
      <c r="AG11" s="94" t="s">
        <v>0</v>
      </c>
      <c r="AH11" s="54"/>
      <c r="AI11" s="188" t="e">
        <f t="shared" si="3"/>
        <v>#VALUE!</v>
      </c>
      <c r="AJ11" s="52" t="e">
        <f>#REF!*#REF!</f>
        <v>#REF!</v>
      </c>
    </row>
    <row r="12" spans="1:36" s="50" customFormat="1" ht="18.75" customHeight="1">
      <c r="A12" s="267"/>
      <c r="B12" s="21" t="s">
        <v>241</v>
      </c>
      <c r="C12" s="21">
        <v>40</v>
      </c>
      <c r="D12" s="75">
        <f>ROUND($AF$1*C12/1000,0)</f>
        <v>3</v>
      </c>
      <c r="E12" s="74" t="s">
        <v>21</v>
      </c>
      <c r="F12" s="157"/>
      <c r="G12" s="52"/>
      <c r="H12" s="267"/>
      <c r="I12" s="21"/>
      <c r="J12" s="21"/>
      <c r="K12" s="21"/>
      <c r="L12" s="21"/>
      <c r="M12" s="240"/>
      <c r="N12" s="52"/>
      <c r="O12" s="269"/>
      <c r="P12" s="56" t="s">
        <v>78</v>
      </c>
      <c r="Q12" s="56">
        <v>6</v>
      </c>
      <c r="R12" s="75">
        <f>ROUND($AF$1*Q12/1000,1)</f>
        <v>0.4</v>
      </c>
      <c r="S12" s="94" t="s">
        <v>0</v>
      </c>
      <c r="T12" s="54"/>
      <c r="U12" s="52">
        <f>R12*T12</f>
        <v>0</v>
      </c>
      <c r="V12" s="267"/>
      <c r="W12" s="26"/>
      <c r="X12" s="27"/>
      <c r="Y12" s="75"/>
      <c r="Z12" s="74"/>
      <c r="AA12" s="54"/>
      <c r="AB12" s="52"/>
      <c r="AC12" s="320"/>
      <c r="AD12" s="56" t="s">
        <v>225</v>
      </c>
      <c r="AE12" s="56">
        <v>25</v>
      </c>
      <c r="AF12" s="75">
        <f t="shared" si="2"/>
        <v>1.8</v>
      </c>
      <c r="AG12" s="94" t="s">
        <v>0</v>
      </c>
      <c r="AH12" s="54"/>
      <c r="AI12" s="188"/>
      <c r="AJ12" s="52"/>
    </row>
    <row r="13" spans="1:36" s="50" customFormat="1" ht="18.75" customHeight="1">
      <c r="A13" s="267"/>
      <c r="B13" s="57"/>
      <c r="C13" s="21"/>
      <c r="D13" s="91"/>
      <c r="E13" s="94"/>
      <c r="F13" s="157"/>
      <c r="G13" s="52"/>
      <c r="H13" s="267"/>
      <c r="I13" s="57"/>
      <c r="J13" s="21"/>
      <c r="K13" s="91"/>
      <c r="L13" s="91"/>
      <c r="M13" s="240"/>
      <c r="N13" s="52"/>
      <c r="O13" s="269"/>
      <c r="P13" s="56" t="s">
        <v>89</v>
      </c>
      <c r="Q13" s="56">
        <v>0.5</v>
      </c>
      <c r="R13" s="75" t="s">
        <v>23</v>
      </c>
      <c r="S13" s="94" t="s">
        <v>0</v>
      </c>
      <c r="T13" s="54"/>
      <c r="U13" s="48"/>
      <c r="V13" s="267"/>
      <c r="W13" s="28"/>
      <c r="X13" s="28"/>
      <c r="Y13" s="24"/>
      <c r="Z13" s="25"/>
      <c r="AA13" s="54"/>
      <c r="AB13" s="52"/>
      <c r="AC13" s="320"/>
      <c r="AD13" s="56" t="s">
        <v>226</v>
      </c>
      <c r="AE13" s="56">
        <v>2.5</v>
      </c>
      <c r="AF13" s="75">
        <f t="shared" si="2"/>
        <v>0.2</v>
      </c>
      <c r="AG13" s="94" t="s">
        <v>0</v>
      </c>
      <c r="AH13" s="54"/>
      <c r="AI13" s="188"/>
      <c r="AJ13" s="52"/>
    </row>
    <row r="14" spans="1:36" s="50" customFormat="1" ht="18.75" customHeight="1">
      <c r="A14" s="267"/>
      <c r="B14" s="21"/>
      <c r="C14" s="21"/>
      <c r="D14" s="91"/>
      <c r="E14" s="94"/>
      <c r="F14" s="157"/>
      <c r="G14" s="52"/>
      <c r="H14" s="267"/>
      <c r="I14" s="21"/>
      <c r="J14" s="21"/>
      <c r="K14" s="91"/>
      <c r="L14" s="94"/>
      <c r="M14" s="54"/>
      <c r="N14" s="52"/>
      <c r="O14" s="269"/>
      <c r="P14" s="21"/>
      <c r="Q14" s="21"/>
      <c r="R14" s="91"/>
      <c r="S14" s="94"/>
      <c r="T14" s="54"/>
      <c r="U14" s="48"/>
      <c r="V14" s="267"/>
      <c r="W14" s="214"/>
      <c r="X14" s="28"/>
      <c r="Y14" s="24"/>
      <c r="Z14" s="25"/>
      <c r="AA14" s="54"/>
      <c r="AB14" s="52"/>
      <c r="AC14" s="320"/>
      <c r="AD14" s="148" t="s">
        <v>73</v>
      </c>
      <c r="AE14" s="148">
        <v>14</v>
      </c>
      <c r="AF14" s="75">
        <f t="shared" si="2"/>
        <v>1</v>
      </c>
      <c r="AG14" s="94" t="s">
        <v>0</v>
      </c>
      <c r="AH14" s="54"/>
      <c r="AI14" s="188"/>
      <c r="AJ14" s="52"/>
    </row>
    <row r="15" spans="1:36" s="50" customFormat="1" ht="18.75" customHeight="1">
      <c r="A15" s="267"/>
      <c r="B15" s="21"/>
      <c r="C15" s="21"/>
      <c r="D15" s="91"/>
      <c r="E15" s="94"/>
      <c r="F15" s="157"/>
      <c r="G15" s="52"/>
      <c r="H15" s="267"/>
      <c r="I15" s="21"/>
      <c r="J15" s="21"/>
      <c r="K15" s="91"/>
      <c r="L15" s="94"/>
      <c r="M15" s="54"/>
      <c r="N15" s="52"/>
      <c r="O15" s="269"/>
      <c r="P15" s="21"/>
      <c r="Q15" s="21"/>
      <c r="R15" s="91"/>
      <c r="S15" s="94"/>
      <c r="T15" s="54"/>
      <c r="U15" s="48"/>
      <c r="V15" s="267"/>
      <c r="W15" s="214"/>
      <c r="X15" s="28"/>
      <c r="Y15" s="24"/>
      <c r="Z15" s="25"/>
      <c r="AA15" s="54"/>
      <c r="AB15" s="52"/>
      <c r="AC15" s="320"/>
      <c r="AD15" s="222"/>
      <c r="AE15" s="222"/>
      <c r="AF15" s="75"/>
      <c r="AG15" s="94"/>
      <c r="AH15" s="54"/>
      <c r="AI15" s="188"/>
      <c r="AJ15" s="52"/>
    </row>
    <row r="16" spans="1:45" s="40" customFormat="1" ht="18.75" customHeight="1">
      <c r="A16" s="267"/>
      <c r="B16" s="21"/>
      <c r="C16" s="21"/>
      <c r="D16" s="91"/>
      <c r="E16" s="94"/>
      <c r="F16" s="157"/>
      <c r="G16" s="52"/>
      <c r="H16" s="267"/>
      <c r="I16" s="21"/>
      <c r="J16" s="21"/>
      <c r="K16" s="91"/>
      <c r="L16" s="94"/>
      <c r="M16" s="54"/>
      <c r="N16" s="52">
        <f>K16*M16</f>
        <v>0</v>
      </c>
      <c r="O16" s="269"/>
      <c r="P16" s="21"/>
      <c r="Q16" s="21"/>
      <c r="R16" s="91"/>
      <c r="S16" s="94"/>
      <c r="T16" s="54"/>
      <c r="U16" s="48">
        <f>R16*T16</f>
        <v>0</v>
      </c>
      <c r="V16" s="267"/>
      <c r="W16" s="22"/>
      <c r="X16" s="22"/>
      <c r="Y16" s="24"/>
      <c r="Z16" s="25"/>
      <c r="AA16" s="54"/>
      <c r="AB16" s="52">
        <f>Y12*AA16</f>
        <v>0</v>
      </c>
      <c r="AC16" s="321"/>
      <c r="AD16" s="198"/>
      <c r="AE16" s="199"/>
      <c r="AF16" s="91"/>
      <c r="AG16" s="94"/>
      <c r="AH16" s="54"/>
      <c r="AI16" s="188"/>
      <c r="AJ16" s="52" t="e">
        <f>#REF!*#REF!</f>
        <v>#REF!</v>
      </c>
      <c r="AO16" s="266" t="s">
        <v>172</v>
      </c>
      <c r="AP16" s="60" t="s">
        <v>170</v>
      </c>
      <c r="AQ16" s="52">
        <v>10</v>
      </c>
      <c r="AR16" s="52" t="s">
        <v>23</v>
      </c>
      <c r="AS16" s="61" t="s">
        <v>52</v>
      </c>
    </row>
    <row r="17" spans="1:45" s="50" customFormat="1" ht="18.75" customHeight="1">
      <c r="A17" s="265" t="s">
        <v>11</v>
      </c>
      <c r="B17" s="265"/>
      <c r="C17" s="265"/>
      <c r="D17" s="265"/>
      <c r="E17" s="265"/>
      <c r="F17" s="85"/>
      <c r="G17" s="86"/>
      <c r="H17" s="265" t="s">
        <v>42</v>
      </c>
      <c r="I17" s="265"/>
      <c r="J17" s="265"/>
      <c r="K17" s="265"/>
      <c r="L17" s="265"/>
      <c r="M17" s="47"/>
      <c r="N17" s="87"/>
      <c r="O17" s="265" t="s">
        <v>42</v>
      </c>
      <c r="P17" s="265"/>
      <c r="Q17" s="265"/>
      <c r="R17" s="265"/>
      <c r="S17" s="265"/>
      <c r="T17" s="47"/>
      <c r="U17" s="87"/>
      <c r="V17" s="265" t="s">
        <v>42</v>
      </c>
      <c r="W17" s="265"/>
      <c r="X17" s="265"/>
      <c r="Y17" s="265"/>
      <c r="Z17" s="265"/>
      <c r="AA17" s="47"/>
      <c r="AB17" s="87"/>
      <c r="AC17" s="265" t="s">
        <v>11</v>
      </c>
      <c r="AD17" s="265"/>
      <c r="AE17" s="265"/>
      <c r="AF17" s="265"/>
      <c r="AG17" s="265"/>
      <c r="AH17" s="47"/>
      <c r="AI17" s="195"/>
      <c r="AJ17" s="47"/>
      <c r="AO17" s="267"/>
      <c r="AP17" s="60" t="s">
        <v>15</v>
      </c>
      <c r="AQ17" s="52">
        <v>100</v>
      </c>
      <c r="AR17" s="75">
        <v>3</v>
      </c>
      <c r="AS17" s="61" t="s">
        <v>52</v>
      </c>
    </row>
    <row r="18" spans="1:45" s="50" customFormat="1" ht="18.75" customHeight="1">
      <c r="A18" s="300" t="s">
        <v>46</v>
      </c>
      <c r="B18" s="27" t="s">
        <v>63</v>
      </c>
      <c r="C18" s="58">
        <v>41</v>
      </c>
      <c r="D18" s="75">
        <f>ROUND($AE$1*C18/1000,1)</f>
        <v>3</v>
      </c>
      <c r="E18" s="96" t="s">
        <v>0</v>
      </c>
      <c r="F18" s="51"/>
      <c r="G18" s="52">
        <f>D18*F18</f>
        <v>0</v>
      </c>
      <c r="H18" s="295" t="s">
        <v>242</v>
      </c>
      <c r="I18" s="97" t="s">
        <v>127</v>
      </c>
      <c r="J18" s="97">
        <v>15</v>
      </c>
      <c r="K18" s="165" t="s">
        <v>128</v>
      </c>
      <c r="L18" s="75" t="s">
        <v>0</v>
      </c>
      <c r="M18" s="240"/>
      <c r="N18" s="52"/>
      <c r="O18" s="275" t="s">
        <v>126</v>
      </c>
      <c r="P18" s="59" t="s">
        <v>16</v>
      </c>
      <c r="Q18" s="59">
        <v>16</v>
      </c>
      <c r="R18" s="75">
        <v>56</v>
      </c>
      <c r="S18" s="74" t="s">
        <v>66</v>
      </c>
      <c r="T18" s="54"/>
      <c r="U18" s="52">
        <f>R18*T18</f>
        <v>0</v>
      </c>
      <c r="V18" s="303" t="s">
        <v>43</v>
      </c>
      <c r="W18" s="77" t="s">
        <v>63</v>
      </c>
      <c r="X18" s="58">
        <v>41</v>
      </c>
      <c r="Y18" s="75">
        <f>ROUND($AE$1*X18/1000,1)</f>
        <v>3</v>
      </c>
      <c r="Z18" s="94" t="s">
        <v>0</v>
      </c>
      <c r="AA18" s="54"/>
      <c r="AB18" s="52">
        <f>Y18*AA18</f>
        <v>0</v>
      </c>
      <c r="AC18" s="266" t="s">
        <v>227</v>
      </c>
      <c r="AD18" s="60" t="s">
        <v>170</v>
      </c>
      <c r="AE18" s="52">
        <v>10</v>
      </c>
      <c r="AF18" s="52" t="s">
        <v>23</v>
      </c>
      <c r="AG18" s="61" t="s">
        <v>52</v>
      </c>
      <c r="AH18" s="54"/>
      <c r="AI18" s="188" t="e">
        <f t="shared" si="3"/>
        <v>#VALUE!</v>
      </c>
      <c r="AJ18" s="52" t="e">
        <f>#REF!*#REF!</f>
        <v>#REF!</v>
      </c>
      <c r="AO18" s="267"/>
      <c r="AP18" s="221" t="s">
        <v>171</v>
      </c>
      <c r="AQ18" s="62">
        <v>5.5</v>
      </c>
      <c r="AR18" s="21">
        <f>ROUND($AE$1*AQ18/300,1)</f>
        <v>1.3</v>
      </c>
      <c r="AS18" s="165" t="s">
        <v>25</v>
      </c>
    </row>
    <row r="19" spans="1:45" s="50" customFormat="1" ht="18.75" customHeight="1">
      <c r="A19" s="301"/>
      <c r="B19" s="27" t="s">
        <v>173</v>
      </c>
      <c r="C19" s="58">
        <v>41</v>
      </c>
      <c r="D19" s="75">
        <f>ROUND($AE$1*C19/1000,1)</f>
        <v>3</v>
      </c>
      <c r="E19" s="74" t="s">
        <v>0</v>
      </c>
      <c r="F19" s="51"/>
      <c r="G19" s="52">
        <f>D19*F19</f>
        <v>0</v>
      </c>
      <c r="H19" s="296"/>
      <c r="I19" s="97" t="s">
        <v>243</v>
      </c>
      <c r="J19" s="97">
        <v>5</v>
      </c>
      <c r="K19" s="165" t="s">
        <v>128</v>
      </c>
      <c r="L19" s="75" t="s">
        <v>0</v>
      </c>
      <c r="M19" s="240"/>
      <c r="N19" s="52"/>
      <c r="O19" s="275"/>
      <c r="P19" s="53"/>
      <c r="Q19" s="27"/>
      <c r="R19" s="75"/>
      <c r="S19" s="74"/>
      <c r="T19" s="54"/>
      <c r="U19" s="52">
        <f>R19*T19</f>
        <v>0</v>
      </c>
      <c r="V19" s="304"/>
      <c r="W19" s="77" t="s">
        <v>204</v>
      </c>
      <c r="X19" s="58">
        <v>41</v>
      </c>
      <c r="Y19" s="75">
        <f>ROUND($AE$1*X19/1000,1)</f>
        <v>3</v>
      </c>
      <c r="Z19" s="94" t="s">
        <v>0</v>
      </c>
      <c r="AA19" s="54"/>
      <c r="AB19" s="52"/>
      <c r="AC19" s="267"/>
      <c r="AD19" s="241" t="s">
        <v>232</v>
      </c>
      <c r="AE19" s="52">
        <v>100</v>
      </c>
      <c r="AF19" s="52" t="s">
        <v>23</v>
      </c>
      <c r="AG19" s="61" t="s">
        <v>52</v>
      </c>
      <c r="AH19" s="54"/>
      <c r="AI19" s="188" t="e">
        <f t="shared" si="3"/>
        <v>#VALUE!</v>
      </c>
      <c r="AJ19" s="52" t="e">
        <f>#REF!*#REF!</f>
        <v>#REF!</v>
      </c>
      <c r="AO19" s="267"/>
      <c r="AP19" s="21"/>
      <c r="AQ19" s="21"/>
      <c r="AR19" s="91"/>
      <c r="AS19" s="94"/>
    </row>
    <row r="20" spans="1:45" s="50" customFormat="1" ht="18.75" customHeight="1">
      <c r="A20" s="301"/>
      <c r="B20" s="26" t="s">
        <v>244</v>
      </c>
      <c r="C20" s="58">
        <v>41</v>
      </c>
      <c r="D20" s="75">
        <f>ROUND($AE$1*C20/1000,1)</f>
        <v>3</v>
      </c>
      <c r="E20" s="74" t="s">
        <v>0</v>
      </c>
      <c r="F20" s="51"/>
      <c r="G20" s="52">
        <f>D20*F20</f>
        <v>0</v>
      </c>
      <c r="H20" s="296"/>
      <c r="I20" s="21" t="s">
        <v>54</v>
      </c>
      <c r="J20" s="21">
        <v>10</v>
      </c>
      <c r="K20" s="165" t="s">
        <v>128</v>
      </c>
      <c r="L20" s="165" t="s">
        <v>129</v>
      </c>
      <c r="M20" s="240"/>
      <c r="N20" s="52" t="e">
        <f>K20*M20</f>
        <v>#VALUE!</v>
      </c>
      <c r="O20" s="275"/>
      <c r="P20" s="27"/>
      <c r="Q20" s="27"/>
      <c r="R20" s="75"/>
      <c r="S20" s="74"/>
      <c r="T20" s="54"/>
      <c r="U20" s="52">
        <f>R20*T20</f>
        <v>0</v>
      </c>
      <c r="V20" s="304"/>
      <c r="W20" s="77" t="s">
        <v>178</v>
      </c>
      <c r="X20" s="58">
        <v>41</v>
      </c>
      <c r="Y20" s="75">
        <f>ROUND($AE$1*X20/1000,1)</f>
        <v>3</v>
      </c>
      <c r="Z20" s="94" t="s">
        <v>0</v>
      </c>
      <c r="AA20" s="54"/>
      <c r="AB20" s="52">
        <f>Y20*AA20</f>
        <v>0</v>
      </c>
      <c r="AC20" s="267"/>
      <c r="AD20" s="242" t="s">
        <v>245</v>
      </c>
      <c r="AE20" s="62"/>
      <c r="AF20" s="21"/>
      <c r="AG20" s="23"/>
      <c r="AH20" s="54"/>
      <c r="AI20" s="188">
        <f t="shared" si="3"/>
        <v>0</v>
      </c>
      <c r="AJ20" s="52" t="e">
        <f>#REF!*#REF!</f>
        <v>#REF!</v>
      </c>
      <c r="AO20" s="267"/>
      <c r="AP20" s="60"/>
      <c r="AQ20" s="52"/>
      <c r="AR20" s="52"/>
      <c r="AS20" s="61"/>
    </row>
    <row r="21" spans="1:45" s="50" customFormat="1" ht="18.75" customHeight="1">
      <c r="A21" s="301"/>
      <c r="B21" s="21"/>
      <c r="C21" s="21"/>
      <c r="D21" s="91"/>
      <c r="E21" s="94"/>
      <c r="F21" s="157"/>
      <c r="G21" s="52">
        <f>D21*F21</f>
        <v>0</v>
      </c>
      <c r="H21" s="296"/>
      <c r="I21" s="27"/>
      <c r="J21" s="27"/>
      <c r="K21" s="75"/>
      <c r="L21" s="75"/>
      <c r="M21" s="240"/>
      <c r="N21" s="52"/>
      <c r="O21" s="275"/>
      <c r="P21" s="27" t="s">
        <v>63</v>
      </c>
      <c r="Q21" s="59">
        <v>59</v>
      </c>
      <c r="R21" s="75">
        <f>ROUND($AF$1*Q21/1000,1)</f>
        <v>4.2</v>
      </c>
      <c r="S21" s="75" t="s">
        <v>0</v>
      </c>
      <c r="T21" s="240"/>
      <c r="U21" s="52">
        <f>R21*T21</f>
        <v>0</v>
      </c>
      <c r="V21" s="304"/>
      <c r="W21" s="56"/>
      <c r="X21" s="56"/>
      <c r="Y21" s="91"/>
      <c r="Z21" s="94"/>
      <c r="AA21" s="54"/>
      <c r="AB21" s="52"/>
      <c r="AC21" s="267"/>
      <c r="AD21" s="21" t="s">
        <v>228</v>
      </c>
      <c r="AE21" s="21">
        <v>90</v>
      </c>
      <c r="AF21" s="75">
        <f>ROUND($AF$1*AE21/1000,1)</f>
        <v>6.5</v>
      </c>
      <c r="AG21" s="94" t="s">
        <v>0</v>
      </c>
      <c r="AH21" s="54"/>
      <c r="AI21" s="188"/>
      <c r="AJ21" s="52" t="e">
        <f>#REF!*#REF!</f>
        <v>#REF!</v>
      </c>
      <c r="AO21" s="267"/>
      <c r="AP21" s="21"/>
      <c r="AQ21" s="21"/>
      <c r="AR21" s="91"/>
      <c r="AS21" s="94"/>
    </row>
    <row r="22" spans="1:45" s="50" customFormat="1" ht="18.75" customHeight="1">
      <c r="A22" s="301"/>
      <c r="B22" s="60" t="s">
        <v>246</v>
      </c>
      <c r="C22" s="52">
        <v>120</v>
      </c>
      <c r="D22" s="75">
        <f>ROUND($AE$1*C22/1000,0)</f>
        <v>9</v>
      </c>
      <c r="E22" s="61" t="s">
        <v>52</v>
      </c>
      <c r="F22" s="157"/>
      <c r="G22" s="52"/>
      <c r="H22" s="296"/>
      <c r="I22" s="27"/>
      <c r="J22" s="27"/>
      <c r="K22" s="75"/>
      <c r="L22" s="74"/>
      <c r="M22" s="54"/>
      <c r="N22" s="52"/>
      <c r="O22" s="275"/>
      <c r="P22" s="27"/>
      <c r="Q22" s="27"/>
      <c r="R22" s="75"/>
      <c r="S22" s="74"/>
      <c r="T22" s="54"/>
      <c r="U22" s="52"/>
      <c r="V22" s="304"/>
      <c r="W22" s="241" t="s">
        <v>232</v>
      </c>
      <c r="X22" s="243">
        <v>120</v>
      </c>
      <c r="Y22" s="244" t="s">
        <v>23</v>
      </c>
      <c r="Z22" s="77" t="s">
        <v>52</v>
      </c>
      <c r="AA22" s="240"/>
      <c r="AB22" s="52"/>
      <c r="AC22" s="267"/>
      <c r="AD22" s="60"/>
      <c r="AE22" s="52"/>
      <c r="AF22" s="52"/>
      <c r="AG22" s="61"/>
      <c r="AH22" s="54"/>
      <c r="AI22" s="188"/>
      <c r="AJ22" s="52"/>
      <c r="AO22" s="267"/>
      <c r="AP22" s="21"/>
      <c r="AQ22" s="21"/>
      <c r="AR22" s="91"/>
      <c r="AS22" s="94"/>
    </row>
    <row r="23" spans="1:45" s="50" customFormat="1" ht="18.75" customHeight="1" thickBot="1">
      <c r="A23" s="301"/>
      <c r="B23" s="21"/>
      <c r="C23" s="21"/>
      <c r="D23" s="91"/>
      <c r="E23" s="94"/>
      <c r="F23" s="157"/>
      <c r="G23" s="52"/>
      <c r="H23" s="296"/>
      <c r="I23" s="21"/>
      <c r="J23" s="21"/>
      <c r="K23" s="75"/>
      <c r="L23" s="74"/>
      <c r="M23" s="54"/>
      <c r="N23" s="52"/>
      <c r="O23" s="275"/>
      <c r="P23" s="286"/>
      <c r="Q23" s="287"/>
      <c r="R23" s="287"/>
      <c r="S23" s="288"/>
      <c r="T23" s="54"/>
      <c r="U23" s="52"/>
      <c r="V23" s="304"/>
      <c r="W23" s="242" t="s">
        <v>247</v>
      </c>
      <c r="X23" s="155"/>
      <c r="Y23" s="91"/>
      <c r="Z23" s="94"/>
      <c r="AA23" s="54"/>
      <c r="AB23" s="52"/>
      <c r="AC23" s="267"/>
      <c r="AD23" s="21"/>
      <c r="AE23" s="21"/>
      <c r="AF23" s="91"/>
      <c r="AG23" s="94"/>
      <c r="AH23" s="54"/>
      <c r="AI23" s="188"/>
      <c r="AJ23" s="52"/>
      <c r="AO23" s="323"/>
      <c r="AP23" s="21"/>
      <c r="AQ23" s="21"/>
      <c r="AR23" s="91"/>
      <c r="AS23" s="94"/>
    </row>
    <row r="24" spans="1:36" s="50" customFormat="1" ht="18.75" customHeight="1">
      <c r="A24" s="301"/>
      <c r="B24" s="21"/>
      <c r="C24" s="21"/>
      <c r="D24" s="91"/>
      <c r="E24" s="94"/>
      <c r="F24" s="51"/>
      <c r="G24" s="52"/>
      <c r="H24" s="296"/>
      <c r="I24" s="21"/>
      <c r="J24" s="21"/>
      <c r="K24" s="91"/>
      <c r="L24" s="94"/>
      <c r="M24" s="54"/>
      <c r="N24" s="52"/>
      <c r="O24" s="275"/>
      <c r="P24" s="59"/>
      <c r="Q24" s="59"/>
      <c r="R24" s="75"/>
      <c r="S24" s="74"/>
      <c r="T24" s="54"/>
      <c r="U24" s="52"/>
      <c r="V24" s="304"/>
      <c r="W24" s="56"/>
      <c r="X24" s="56"/>
      <c r="Y24" s="91"/>
      <c r="Z24" s="94"/>
      <c r="AA24" s="54"/>
      <c r="AB24" s="52"/>
      <c r="AC24" s="267"/>
      <c r="AD24" s="21"/>
      <c r="AE24" s="21"/>
      <c r="AF24" s="91"/>
      <c r="AG24" s="94"/>
      <c r="AH24" s="54"/>
      <c r="AI24" s="188"/>
      <c r="AJ24" s="52"/>
    </row>
    <row r="25" spans="1:36" s="50" customFormat="1" ht="18.75" customHeight="1" thickBot="1">
      <c r="A25" s="302"/>
      <c r="B25" s="245"/>
      <c r="C25" s="245"/>
      <c r="D25" s="246"/>
      <c r="E25" s="247"/>
      <c r="F25" s="171"/>
      <c r="G25" s="172">
        <f>D25*F25</f>
        <v>0</v>
      </c>
      <c r="H25" s="297"/>
      <c r="I25" s="226"/>
      <c r="J25" s="226"/>
      <c r="K25" s="227"/>
      <c r="L25" s="228"/>
      <c r="M25" s="235"/>
      <c r="N25" s="172">
        <f>K25*M25</f>
        <v>0</v>
      </c>
      <c r="O25" s="276"/>
      <c r="P25" s="149"/>
      <c r="Q25" s="149"/>
      <c r="R25" s="150"/>
      <c r="S25" s="170"/>
      <c r="T25" s="235"/>
      <c r="U25" s="172">
        <f>R25*T25</f>
        <v>0</v>
      </c>
      <c r="V25" s="304"/>
      <c r="W25" s="234"/>
      <c r="X25" s="234"/>
      <c r="Y25" s="227"/>
      <c r="Z25" s="228"/>
      <c r="AA25" s="235"/>
      <c r="AB25" s="172">
        <f>Y25*AA25</f>
        <v>0</v>
      </c>
      <c r="AC25" s="267"/>
      <c r="AD25" s="226"/>
      <c r="AE25" s="226"/>
      <c r="AF25" s="227"/>
      <c r="AG25" s="228"/>
      <c r="AH25" s="235"/>
      <c r="AI25" s="196"/>
      <c r="AJ25" s="52" t="e">
        <f>#REF!*#REF!</f>
        <v>#REF!</v>
      </c>
    </row>
    <row r="26" spans="1:38" s="40" customFormat="1" ht="18.75" customHeight="1">
      <c r="A26" s="305" t="s">
        <v>90</v>
      </c>
      <c r="B26" s="98" t="s">
        <v>91</v>
      </c>
      <c r="C26" s="282">
        <v>2.5</v>
      </c>
      <c r="D26" s="282"/>
      <c r="E26" s="283"/>
      <c r="F26" s="284" t="e">
        <f>SUM(#REF!)</f>
        <v>#REF!</v>
      </c>
      <c r="G26" s="284"/>
      <c r="H26" s="292" t="s">
        <v>90</v>
      </c>
      <c r="I26" s="98" t="s">
        <v>91</v>
      </c>
      <c r="J26" s="282">
        <v>2.5</v>
      </c>
      <c r="K26" s="282"/>
      <c r="L26" s="283"/>
      <c r="M26" s="284" t="e">
        <f>SUM(N6:N25)</f>
        <v>#VALUE!</v>
      </c>
      <c r="N26" s="285"/>
      <c r="O26" s="310" t="s">
        <v>90</v>
      </c>
      <c r="P26" s="98" t="s">
        <v>91</v>
      </c>
      <c r="Q26" s="282">
        <v>2</v>
      </c>
      <c r="R26" s="282"/>
      <c r="S26" s="283"/>
      <c r="T26" s="284" t="e">
        <f>SUM(U6:U25)</f>
        <v>#VALUE!</v>
      </c>
      <c r="U26" s="285"/>
      <c r="V26" s="292" t="s">
        <v>90</v>
      </c>
      <c r="W26" s="98" t="s">
        <v>91</v>
      </c>
      <c r="X26" s="282">
        <v>2</v>
      </c>
      <c r="Y26" s="282"/>
      <c r="Z26" s="283"/>
      <c r="AA26" s="284">
        <f>SUM(AB6:AB25)</f>
        <v>0</v>
      </c>
      <c r="AB26" s="285"/>
      <c r="AC26" s="310" t="s">
        <v>90</v>
      </c>
      <c r="AD26" s="98" t="s">
        <v>91</v>
      </c>
      <c r="AE26" s="282">
        <v>2</v>
      </c>
      <c r="AF26" s="282"/>
      <c r="AG26" s="308"/>
      <c r="AH26" s="309" t="e">
        <f>SUM(AI6:AI25)</f>
        <v>#VALUE!</v>
      </c>
      <c r="AI26" s="285"/>
      <c r="AK26" s="126">
        <f aca="true" t="shared" si="4" ref="AK26:AK32">(C26+J26+Q26+X26+AE26)/4</f>
        <v>2.75</v>
      </c>
      <c r="AL26" s="126">
        <f aca="true" t="shared" si="5" ref="AL26:AL31">(AE26+X26+Q26+J26+C26)/5</f>
        <v>2.2</v>
      </c>
    </row>
    <row r="27" spans="1:38" s="40" customFormat="1" ht="18.75" customHeight="1">
      <c r="A27" s="306"/>
      <c r="B27" s="100" t="s">
        <v>92</v>
      </c>
      <c r="C27" s="313">
        <v>0.5</v>
      </c>
      <c r="D27" s="313"/>
      <c r="E27" s="314"/>
      <c r="F27" s="101"/>
      <c r="G27" s="102"/>
      <c r="H27" s="293"/>
      <c r="I27" s="100" t="s">
        <v>92</v>
      </c>
      <c r="J27" s="313">
        <v>0.9</v>
      </c>
      <c r="K27" s="313"/>
      <c r="L27" s="314"/>
      <c r="M27" s="103"/>
      <c r="N27" s="102"/>
      <c r="O27" s="311"/>
      <c r="P27" s="100" t="s">
        <v>92</v>
      </c>
      <c r="Q27" s="313">
        <v>0.5</v>
      </c>
      <c r="R27" s="313"/>
      <c r="S27" s="314"/>
      <c r="T27" s="103"/>
      <c r="U27" s="104"/>
      <c r="V27" s="293"/>
      <c r="W27" s="100" t="s">
        <v>92</v>
      </c>
      <c r="X27" s="313">
        <v>0.5</v>
      </c>
      <c r="Y27" s="313"/>
      <c r="Z27" s="314"/>
      <c r="AA27" s="105"/>
      <c r="AB27" s="102"/>
      <c r="AC27" s="311"/>
      <c r="AD27" s="100" t="s">
        <v>92</v>
      </c>
      <c r="AE27" s="313">
        <v>0.5</v>
      </c>
      <c r="AF27" s="313"/>
      <c r="AG27" s="315"/>
      <c r="AH27" s="106"/>
      <c r="AI27" s="107"/>
      <c r="AK27" s="126">
        <f t="shared" si="4"/>
        <v>0.725</v>
      </c>
      <c r="AL27" s="126">
        <f t="shared" si="5"/>
        <v>0.58</v>
      </c>
    </row>
    <row r="28" spans="1:38" s="40" customFormat="1" ht="18.75" customHeight="1">
      <c r="A28" s="306"/>
      <c r="B28" s="108" t="s">
        <v>95</v>
      </c>
      <c r="C28" s="313">
        <v>0.1</v>
      </c>
      <c r="D28" s="313"/>
      <c r="E28" s="314"/>
      <c r="F28" s="101"/>
      <c r="G28" s="102"/>
      <c r="H28" s="293"/>
      <c r="I28" s="108" t="s">
        <v>95</v>
      </c>
      <c r="J28" s="313">
        <v>0.3</v>
      </c>
      <c r="K28" s="313"/>
      <c r="L28" s="314"/>
      <c r="M28" s="103"/>
      <c r="N28" s="102"/>
      <c r="O28" s="311"/>
      <c r="P28" s="108" t="s">
        <v>95</v>
      </c>
      <c r="Q28" s="313">
        <v>0.6</v>
      </c>
      <c r="R28" s="313"/>
      <c r="S28" s="314"/>
      <c r="T28" s="103"/>
      <c r="U28" s="104"/>
      <c r="V28" s="293"/>
      <c r="W28" s="108" t="s">
        <v>95</v>
      </c>
      <c r="X28" s="313">
        <v>0.3</v>
      </c>
      <c r="Y28" s="313"/>
      <c r="Z28" s="314"/>
      <c r="AA28" s="105"/>
      <c r="AB28" s="102"/>
      <c r="AC28" s="311"/>
      <c r="AD28" s="108" t="s">
        <v>95</v>
      </c>
      <c r="AE28" s="313">
        <v>0.6</v>
      </c>
      <c r="AF28" s="313"/>
      <c r="AG28" s="315"/>
      <c r="AH28" s="106"/>
      <c r="AI28" s="107"/>
      <c r="AK28" s="126">
        <f t="shared" si="4"/>
        <v>0.475</v>
      </c>
      <c r="AL28" s="126">
        <f t="shared" si="5"/>
        <v>0.38</v>
      </c>
    </row>
    <row r="29" spans="1:38" s="40" customFormat="1" ht="18.75" customHeight="1">
      <c r="A29" s="306"/>
      <c r="B29" s="109" t="s">
        <v>93</v>
      </c>
      <c r="C29" s="313">
        <v>0.5</v>
      </c>
      <c r="D29" s="313"/>
      <c r="E29" s="314"/>
      <c r="F29" s="101"/>
      <c r="G29" s="102"/>
      <c r="H29" s="293"/>
      <c r="I29" s="109" t="s">
        <v>93</v>
      </c>
      <c r="J29" s="313">
        <v>0.5</v>
      </c>
      <c r="K29" s="313"/>
      <c r="L29" s="314"/>
      <c r="M29" s="103"/>
      <c r="N29" s="102"/>
      <c r="O29" s="311"/>
      <c r="P29" s="109" t="s">
        <v>93</v>
      </c>
      <c r="Q29" s="313">
        <v>0.5</v>
      </c>
      <c r="R29" s="313"/>
      <c r="S29" s="314"/>
      <c r="T29" s="103"/>
      <c r="U29" s="104"/>
      <c r="V29" s="293"/>
      <c r="W29" s="109" t="s">
        <v>94</v>
      </c>
      <c r="X29" s="313">
        <v>0.5</v>
      </c>
      <c r="Y29" s="313"/>
      <c r="Z29" s="314"/>
      <c r="AA29" s="105"/>
      <c r="AB29" s="102"/>
      <c r="AC29" s="311"/>
      <c r="AD29" s="109" t="s">
        <v>93</v>
      </c>
      <c r="AE29" s="313">
        <v>0.5</v>
      </c>
      <c r="AF29" s="313"/>
      <c r="AG29" s="315"/>
      <c r="AH29" s="106"/>
      <c r="AI29" s="107"/>
      <c r="AK29" s="126">
        <f t="shared" si="4"/>
        <v>0.625</v>
      </c>
      <c r="AL29" s="126">
        <f t="shared" si="5"/>
        <v>0.5</v>
      </c>
    </row>
    <row r="30" spans="1:38" s="40" customFormat="1" ht="18.75" customHeight="1">
      <c r="A30" s="306"/>
      <c r="B30" s="100" t="s">
        <v>96</v>
      </c>
      <c r="C30" s="313">
        <v>1</v>
      </c>
      <c r="D30" s="313"/>
      <c r="E30" s="314"/>
      <c r="F30" s="101"/>
      <c r="G30" s="102"/>
      <c r="H30" s="293"/>
      <c r="I30" s="100" t="s">
        <v>96</v>
      </c>
      <c r="J30" s="313">
        <v>0</v>
      </c>
      <c r="K30" s="313"/>
      <c r="L30" s="314"/>
      <c r="M30" s="103"/>
      <c r="N30" s="102"/>
      <c r="O30" s="311"/>
      <c r="P30" s="100" t="s">
        <v>96</v>
      </c>
      <c r="Q30" s="313">
        <v>0.5</v>
      </c>
      <c r="R30" s="313"/>
      <c r="S30" s="314"/>
      <c r="T30" s="103"/>
      <c r="U30" s="104"/>
      <c r="V30" s="293"/>
      <c r="W30" s="100" t="s">
        <v>96</v>
      </c>
      <c r="X30" s="313">
        <v>1</v>
      </c>
      <c r="Y30" s="313"/>
      <c r="Z30" s="314"/>
      <c r="AA30" s="105"/>
      <c r="AB30" s="102"/>
      <c r="AC30" s="311"/>
      <c r="AD30" s="100" t="s">
        <v>96</v>
      </c>
      <c r="AE30" s="313">
        <v>0.5</v>
      </c>
      <c r="AF30" s="313"/>
      <c r="AG30" s="315"/>
      <c r="AH30" s="106"/>
      <c r="AI30" s="107"/>
      <c r="AK30" s="126">
        <f t="shared" si="4"/>
        <v>0.75</v>
      </c>
      <c r="AL30" s="126">
        <f>(AE30+X30+Q30+J30+C30)/5</f>
        <v>0.6</v>
      </c>
    </row>
    <row r="31" spans="1:38" s="40" customFormat="1" ht="18.75" customHeight="1">
      <c r="A31" s="306"/>
      <c r="B31" s="100" t="s">
        <v>97</v>
      </c>
      <c r="C31" s="313">
        <v>0.6</v>
      </c>
      <c r="D31" s="313"/>
      <c r="E31" s="314"/>
      <c r="F31" s="101"/>
      <c r="G31" s="102"/>
      <c r="H31" s="293"/>
      <c r="I31" s="100" t="s">
        <v>97</v>
      </c>
      <c r="J31" s="313">
        <v>0.6</v>
      </c>
      <c r="K31" s="313"/>
      <c r="L31" s="314"/>
      <c r="M31" s="110"/>
      <c r="N31" s="102"/>
      <c r="O31" s="311"/>
      <c r="P31" s="100" t="s">
        <v>97</v>
      </c>
      <c r="Q31" s="313">
        <v>0.5</v>
      </c>
      <c r="R31" s="313"/>
      <c r="S31" s="314"/>
      <c r="T31" s="103"/>
      <c r="U31" s="104"/>
      <c r="V31" s="293"/>
      <c r="W31" s="100" t="s">
        <v>97</v>
      </c>
      <c r="X31" s="313">
        <v>0.6</v>
      </c>
      <c r="Y31" s="313"/>
      <c r="Z31" s="314"/>
      <c r="AA31" s="105"/>
      <c r="AB31" s="102"/>
      <c r="AC31" s="311"/>
      <c r="AD31" s="100" t="s">
        <v>97</v>
      </c>
      <c r="AE31" s="313">
        <v>0.4</v>
      </c>
      <c r="AF31" s="313"/>
      <c r="AG31" s="315"/>
      <c r="AH31" s="106"/>
      <c r="AI31" s="107"/>
      <c r="AJ31" s="40">
        <v>0.2</v>
      </c>
      <c r="AK31" s="126">
        <f t="shared" si="4"/>
        <v>0.6749999999999999</v>
      </c>
      <c r="AL31" s="126">
        <f t="shared" si="5"/>
        <v>0.54</v>
      </c>
    </row>
    <row r="32" spans="1:38" s="40" customFormat="1" ht="18.75" customHeight="1" thickBot="1">
      <c r="A32" s="307"/>
      <c r="B32" s="111" t="s">
        <v>98</v>
      </c>
      <c r="C32" s="316">
        <f>C26*70+C27*75+C28*25+C29*45+C31*120+C30*60</f>
        <v>369.5</v>
      </c>
      <c r="D32" s="316"/>
      <c r="E32" s="317"/>
      <c r="F32" s="112"/>
      <c r="G32" s="113"/>
      <c r="H32" s="294"/>
      <c r="I32" s="111" t="s">
        <v>98</v>
      </c>
      <c r="J32" s="316">
        <f>J26*70+J27*75+J28*25+J29*45+J31*120+J30*60</f>
        <v>344.5</v>
      </c>
      <c r="K32" s="316"/>
      <c r="L32" s="317"/>
      <c r="M32" s="114"/>
      <c r="N32" s="113"/>
      <c r="O32" s="312"/>
      <c r="P32" s="111" t="s">
        <v>98</v>
      </c>
      <c r="Q32" s="316">
        <f>Q26*70+Q27*75+Q28*25+Q29*45+Q31*120+Q30*60</f>
        <v>305</v>
      </c>
      <c r="R32" s="316"/>
      <c r="S32" s="317"/>
      <c r="T32" s="114"/>
      <c r="U32" s="115"/>
      <c r="V32" s="294"/>
      <c r="W32" s="111" t="s">
        <v>98</v>
      </c>
      <c r="X32" s="316">
        <f>X26*70+X27*75+X28*25+X29*45+X31*120+X30*60</f>
        <v>339.5</v>
      </c>
      <c r="Y32" s="316"/>
      <c r="Z32" s="317"/>
      <c r="AA32" s="116"/>
      <c r="AB32" s="113"/>
      <c r="AC32" s="312"/>
      <c r="AD32" s="111" t="s">
        <v>98</v>
      </c>
      <c r="AE32" s="316">
        <f>AE26*70+AE27*75+AE28*25+AE29*45+AE31*120+AE30*60</f>
        <v>293</v>
      </c>
      <c r="AF32" s="316"/>
      <c r="AG32" s="318"/>
      <c r="AH32" s="117"/>
      <c r="AI32" s="118"/>
      <c r="AK32" s="126">
        <f t="shared" si="4"/>
        <v>412.875</v>
      </c>
      <c r="AL32" s="126">
        <f>(AE32+X32+Q32+J32+C32)/5</f>
        <v>330.3</v>
      </c>
    </row>
    <row r="33" spans="1:36" s="50" customFormat="1" ht="18.75" customHeight="1">
      <c r="A33" s="80"/>
      <c r="B33" s="81"/>
      <c r="C33" s="81"/>
      <c r="D33" s="119"/>
      <c r="E33" s="119"/>
      <c r="F33" s="82"/>
      <c r="G33" s="81"/>
      <c r="H33" s="83"/>
      <c r="I33" s="81"/>
      <c r="J33" s="81"/>
      <c r="K33" s="119"/>
      <c r="L33" s="119"/>
      <c r="M33" s="82"/>
      <c r="N33" s="81"/>
      <c r="O33" s="84"/>
      <c r="P33" s="80"/>
      <c r="Q33" s="80"/>
      <c r="R33" s="88"/>
      <c r="S33" s="88"/>
      <c r="T33" s="82"/>
      <c r="U33" s="81"/>
      <c r="V33" s="83"/>
      <c r="W33" s="80"/>
      <c r="X33" s="80"/>
      <c r="Y33" s="88"/>
      <c r="Z33" s="88"/>
      <c r="AA33" s="82"/>
      <c r="AB33" s="81"/>
      <c r="AC33" s="80"/>
      <c r="AD33" s="81"/>
      <c r="AE33" s="81"/>
      <c r="AF33" s="119"/>
      <c r="AG33" s="119"/>
      <c r="AH33" s="82"/>
      <c r="AI33" s="81"/>
      <c r="AJ33" s="81"/>
    </row>
    <row r="34" spans="1:49" s="50" customFormat="1" ht="19.5" customHeight="1">
      <c r="A34" s="279" t="s">
        <v>55</v>
      </c>
      <c r="B34" s="279"/>
      <c r="C34" s="279"/>
      <c r="D34" s="279"/>
      <c r="E34" s="279"/>
      <c r="F34" s="279"/>
      <c r="G34" s="279"/>
      <c r="H34" s="279"/>
      <c r="I34" s="279"/>
      <c r="J34" s="279"/>
      <c r="K34" s="279"/>
      <c r="L34" s="279"/>
      <c r="M34" s="279"/>
      <c r="N34" s="279"/>
      <c r="O34" s="279"/>
      <c r="P34" s="279"/>
      <c r="Q34" s="279"/>
      <c r="R34" s="279"/>
      <c r="S34" s="279"/>
      <c r="T34" s="279"/>
      <c r="U34" s="279"/>
      <c r="V34" s="279"/>
      <c r="W34" s="279"/>
      <c r="X34" s="279"/>
      <c r="Y34" s="279"/>
      <c r="Z34" s="279"/>
      <c r="AA34" s="279"/>
      <c r="AB34" s="279"/>
      <c r="AC34" s="279"/>
      <c r="AD34" s="279"/>
      <c r="AE34" s="279"/>
      <c r="AF34" s="279"/>
      <c r="AG34" s="279"/>
      <c r="AH34" s="279"/>
      <c r="AI34" s="120"/>
      <c r="AJ34" s="63"/>
      <c r="AK34" s="64"/>
      <c r="AL34" s="64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</row>
    <row r="35" spans="1:49" s="50" customFormat="1" ht="22.5" customHeight="1">
      <c r="A35" s="299" t="s">
        <v>67</v>
      </c>
      <c r="B35" s="299"/>
      <c r="C35" s="299"/>
      <c r="D35" s="299"/>
      <c r="E35" s="299"/>
      <c r="F35" s="299"/>
      <c r="G35" s="299"/>
      <c r="H35" s="299"/>
      <c r="I35" s="299"/>
      <c r="J35" s="299"/>
      <c r="K35" s="299"/>
      <c r="L35" s="299"/>
      <c r="M35" s="299"/>
      <c r="N35" s="299"/>
      <c r="O35" s="299"/>
      <c r="P35" s="299"/>
      <c r="Q35" s="299"/>
      <c r="R35" s="299"/>
      <c r="S35" s="299"/>
      <c r="T35" s="299"/>
      <c r="U35" s="299"/>
      <c r="V35" s="299"/>
      <c r="W35" s="299"/>
      <c r="X35" s="299"/>
      <c r="Y35" s="299"/>
      <c r="Z35" s="299"/>
      <c r="AA35" s="299"/>
      <c r="AB35" s="299"/>
      <c r="AC35" s="299"/>
      <c r="AD35" s="299"/>
      <c r="AE35" s="299"/>
      <c r="AF35" s="299"/>
      <c r="AG35" s="299"/>
      <c r="AH35" s="299"/>
      <c r="AI35" s="121"/>
      <c r="AJ35" s="65"/>
      <c r="AK35" s="66"/>
      <c r="AL35" s="66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</row>
  </sheetData>
  <sheetProtection selectLockedCells="1" selectUnlockedCells="1"/>
  <mergeCells count="85">
    <mergeCell ref="A1:N1"/>
    <mergeCell ref="AO16:AO23"/>
    <mergeCell ref="J30:L30"/>
    <mergeCell ref="C30:E30"/>
    <mergeCell ref="Q30:S30"/>
    <mergeCell ref="X30:Z30"/>
    <mergeCell ref="AE30:AG30"/>
    <mergeCell ref="AC26:AC32"/>
    <mergeCell ref="C31:E31"/>
    <mergeCell ref="J31:L31"/>
    <mergeCell ref="A6:A16"/>
    <mergeCell ref="A17:E17"/>
    <mergeCell ref="AC6:AC16"/>
    <mergeCell ref="AC17:AG17"/>
    <mergeCell ref="C28:E28"/>
    <mergeCell ref="X28:Z28"/>
    <mergeCell ref="AE28:AG28"/>
    <mergeCell ref="AE27:AG27"/>
    <mergeCell ref="Q26:S26"/>
    <mergeCell ref="T26:U26"/>
    <mergeCell ref="AE31:AG31"/>
    <mergeCell ref="X29:Z29"/>
    <mergeCell ref="AE29:AG29"/>
    <mergeCell ref="C32:E32"/>
    <mergeCell ref="J32:L32"/>
    <mergeCell ref="Q32:S32"/>
    <mergeCell ref="X32:Z32"/>
    <mergeCell ref="AE32:AG32"/>
    <mergeCell ref="X27:Z27"/>
    <mergeCell ref="C27:E27"/>
    <mergeCell ref="V26:V32"/>
    <mergeCell ref="J28:L28"/>
    <mergeCell ref="Q28:S28"/>
    <mergeCell ref="Q31:S31"/>
    <mergeCell ref="X31:Z31"/>
    <mergeCell ref="V18:V25"/>
    <mergeCell ref="A26:A32"/>
    <mergeCell ref="AE26:AG26"/>
    <mergeCell ref="AH26:AI26"/>
    <mergeCell ref="O26:O32"/>
    <mergeCell ref="C29:E29"/>
    <mergeCell ref="J29:L29"/>
    <mergeCell ref="Q29:S29"/>
    <mergeCell ref="J27:L27"/>
    <mergeCell ref="Q27:S27"/>
    <mergeCell ref="W4:Z4"/>
    <mergeCell ref="V5:Z5"/>
    <mergeCell ref="AC2:AC4"/>
    <mergeCell ref="I2:L2"/>
    <mergeCell ref="O2:O4"/>
    <mergeCell ref="A35:AH35"/>
    <mergeCell ref="A5:E5"/>
    <mergeCell ref="O17:S17"/>
    <mergeCell ref="V17:Z17"/>
    <mergeCell ref="A18:A25"/>
    <mergeCell ref="AC18:AC25"/>
    <mergeCell ref="P2:S2"/>
    <mergeCell ref="V2:V4"/>
    <mergeCell ref="W2:Z2"/>
    <mergeCell ref="C26:E26"/>
    <mergeCell ref="F26:G26"/>
    <mergeCell ref="H26:H32"/>
    <mergeCell ref="X26:Z26"/>
    <mergeCell ref="AA26:AB26"/>
    <mergeCell ref="H18:H25"/>
    <mergeCell ref="O18:O25"/>
    <mergeCell ref="H5:L5"/>
    <mergeCell ref="O5:S5"/>
    <mergeCell ref="H2:H4"/>
    <mergeCell ref="A34:AH34"/>
    <mergeCell ref="A2:A4"/>
    <mergeCell ref="B2:E2"/>
    <mergeCell ref="J26:L26"/>
    <mergeCell ref="M26:N26"/>
    <mergeCell ref="P23:S23"/>
    <mergeCell ref="B4:E4"/>
    <mergeCell ref="I4:L4"/>
    <mergeCell ref="AD2:AG2"/>
    <mergeCell ref="H17:L17"/>
    <mergeCell ref="H6:H16"/>
    <mergeCell ref="O6:O16"/>
    <mergeCell ref="V6:V16"/>
    <mergeCell ref="AD4:AG4"/>
    <mergeCell ref="AC5:AG5"/>
    <mergeCell ref="P4:S4"/>
  </mergeCells>
  <printOptions horizontalCentered="1"/>
  <pageMargins left="0" right="0" top="0" bottom="0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/>
  </sheetPr>
  <dimension ref="A1:BI55"/>
  <sheetViews>
    <sheetView view="pageBreakPreview" zoomScale="67" zoomScaleNormal="75" zoomScaleSheetLayoutView="67" zoomScalePageLayoutView="0" workbookViewId="0" topLeftCell="A1">
      <selection activeCell="AD22" sqref="AD22:AG23"/>
    </sheetView>
  </sheetViews>
  <sheetFormatPr defaultColWidth="6.125" defaultRowHeight="22.5" customHeight="1"/>
  <cols>
    <col min="1" max="1" width="3.625" style="67" customWidth="1"/>
    <col min="2" max="2" width="21.25390625" style="68" customWidth="1"/>
    <col min="3" max="3" width="6.125" style="68" customWidth="1"/>
    <col min="4" max="5" width="5.625" style="68" customWidth="1"/>
    <col min="6" max="6" width="6.125" style="69" customWidth="1"/>
    <col min="7" max="7" width="6.125" style="70" customWidth="1"/>
    <col min="8" max="8" width="4.125" style="67" customWidth="1"/>
    <col min="9" max="9" width="16.125" style="68" customWidth="1"/>
    <col min="10" max="10" width="6.125" style="68" customWidth="1"/>
    <col min="11" max="12" width="5.625" style="68" customWidth="1"/>
    <col min="13" max="13" width="6.125" style="69" customWidth="1"/>
    <col min="14" max="14" width="6.125" style="70" customWidth="1"/>
    <col min="15" max="15" width="3.875" style="67" customWidth="1"/>
    <col min="16" max="16" width="16.375" style="68" customWidth="1"/>
    <col min="17" max="17" width="6.125" style="68" customWidth="1"/>
    <col min="18" max="19" width="5.625" style="68" customWidth="1"/>
    <col min="20" max="20" width="6.125" style="69" customWidth="1"/>
    <col min="21" max="21" width="6.125" style="70" customWidth="1"/>
    <col min="22" max="22" width="3.625" style="71" customWidth="1"/>
    <col min="23" max="23" width="16.125" style="68" customWidth="1"/>
    <col min="24" max="24" width="6.125" style="68" customWidth="1"/>
    <col min="25" max="26" width="5.625" style="68" customWidth="1"/>
    <col min="27" max="27" width="6.125" style="69" customWidth="1"/>
    <col min="28" max="28" width="6.125" style="70" customWidth="1"/>
    <col min="29" max="29" width="3.75390625" style="67" customWidth="1"/>
    <col min="30" max="30" width="18.375" style="68" customWidth="1"/>
    <col min="31" max="31" width="6.125" style="68" customWidth="1"/>
    <col min="32" max="33" width="5.625" style="68" customWidth="1"/>
    <col min="34" max="34" width="6.125" style="72" customWidth="1"/>
    <col min="35" max="35" width="6.125" style="70" customWidth="1"/>
    <col min="36" max="36" width="10.375" style="73" customWidth="1"/>
    <col min="37" max="45" width="6.125" style="73" customWidth="1"/>
    <col min="46" max="47" width="6.25390625" style="73" bestFit="1" customWidth="1"/>
    <col min="48" max="48" width="6.125" style="73" customWidth="1"/>
    <col min="49" max="49" width="6.25390625" style="73" bestFit="1" customWidth="1"/>
    <col min="50" max="50" width="10.875" style="73" bestFit="1" customWidth="1"/>
    <col min="51" max="51" width="6.125" style="73" customWidth="1"/>
    <col min="52" max="52" width="3.75390625" style="67" customWidth="1"/>
    <col min="53" max="53" width="18.375" style="68" customWidth="1"/>
    <col min="54" max="54" width="6.125" style="68" hidden="1" customWidth="1"/>
    <col min="55" max="56" width="5.625" style="68" customWidth="1"/>
    <col min="57" max="16384" width="6.125" style="73" customWidth="1"/>
  </cols>
  <sheetData>
    <row r="1" spans="1:36" s="90" customFormat="1" ht="30" customHeight="1">
      <c r="A1" s="322" t="s">
        <v>233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230">
        <f>'[1]第五周'!$O$1</f>
        <v>6</v>
      </c>
      <c r="N1" s="231"/>
      <c r="O1" s="232">
        <f>'第一周'!O1+1</f>
        <v>15</v>
      </c>
      <c r="P1" s="233" t="s">
        <v>222</v>
      </c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  <c r="AF1" s="90">
        <v>72</v>
      </c>
      <c r="AH1" s="89"/>
      <c r="AI1" s="89"/>
      <c r="AJ1" s="90">
        <v>64</v>
      </c>
    </row>
    <row r="2" spans="1:56" s="40" customFormat="1" ht="18.75" customHeight="1">
      <c r="A2" s="278" t="s">
        <v>27</v>
      </c>
      <c r="B2" s="325">
        <f>'第一周'!B2+7</f>
        <v>44900</v>
      </c>
      <c r="C2" s="325"/>
      <c r="D2" s="325"/>
      <c r="E2" s="325"/>
      <c r="F2" s="30"/>
      <c r="G2" s="31"/>
      <c r="H2" s="290" t="s">
        <v>27</v>
      </c>
      <c r="I2" s="298">
        <f>B2+1</f>
        <v>44901</v>
      </c>
      <c r="J2" s="298"/>
      <c r="K2" s="298"/>
      <c r="L2" s="298"/>
      <c r="M2" s="32"/>
      <c r="N2" s="33"/>
      <c r="O2" s="290" t="s">
        <v>27</v>
      </c>
      <c r="P2" s="289">
        <f>I2+1</f>
        <v>44902</v>
      </c>
      <c r="Q2" s="289"/>
      <c r="R2" s="289"/>
      <c r="S2" s="289"/>
      <c r="T2" s="34"/>
      <c r="U2" s="35"/>
      <c r="V2" s="290" t="s">
        <v>27</v>
      </c>
      <c r="W2" s="291">
        <f>P2+1</f>
        <v>44903</v>
      </c>
      <c r="X2" s="291"/>
      <c r="Y2" s="291"/>
      <c r="Z2" s="291"/>
      <c r="AA2" s="36"/>
      <c r="AB2" s="37"/>
      <c r="AC2" s="278" t="s">
        <v>27</v>
      </c>
      <c r="AD2" s="263">
        <f>W2+1</f>
        <v>44904</v>
      </c>
      <c r="AE2" s="263"/>
      <c r="AF2" s="263"/>
      <c r="AG2" s="264"/>
      <c r="AH2" s="187"/>
      <c r="AI2" s="39"/>
      <c r="AZ2" s="278" t="s">
        <v>27</v>
      </c>
      <c r="BA2" s="325">
        <f>'第一周'!BA2+7</f>
        <v>7</v>
      </c>
      <c r="BB2" s="325"/>
      <c r="BC2" s="325"/>
      <c r="BD2" s="325"/>
    </row>
    <row r="3" spans="1:56" s="40" customFormat="1" ht="18.75" customHeight="1">
      <c r="A3" s="278"/>
      <c r="B3" s="41" t="s">
        <v>28</v>
      </c>
      <c r="C3" s="41" t="s">
        <v>29</v>
      </c>
      <c r="D3" s="42" t="s">
        <v>30</v>
      </c>
      <c r="E3" s="42" t="s">
        <v>31</v>
      </c>
      <c r="F3" s="43" t="s">
        <v>32</v>
      </c>
      <c r="G3" s="41" t="s">
        <v>33</v>
      </c>
      <c r="H3" s="290"/>
      <c r="I3" s="41" t="s">
        <v>28</v>
      </c>
      <c r="J3" s="41" t="s">
        <v>29</v>
      </c>
      <c r="K3" s="42" t="s">
        <v>30</v>
      </c>
      <c r="L3" s="188" t="s">
        <v>31</v>
      </c>
      <c r="M3" s="43" t="s">
        <v>32</v>
      </c>
      <c r="N3" s="44" t="s">
        <v>33</v>
      </c>
      <c r="O3" s="290"/>
      <c r="P3" s="41" t="s">
        <v>28</v>
      </c>
      <c r="Q3" s="41" t="s">
        <v>29</v>
      </c>
      <c r="R3" s="42" t="s">
        <v>30</v>
      </c>
      <c r="S3" s="42" t="s">
        <v>31</v>
      </c>
      <c r="T3" s="43" t="s">
        <v>32</v>
      </c>
      <c r="U3" s="44" t="s">
        <v>33</v>
      </c>
      <c r="V3" s="290"/>
      <c r="W3" s="41" t="s">
        <v>28</v>
      </c>
      <c r="X3" s="41" t="s">
        <v>29</v>
      </c>
      <c r="Y3" s="42" t="s">
        <v>30</v>
      </c>
      <c r="Z3" s="42" t="s">
        <v>31</v>
      </c>
      <c r="AA3" s="43" t="s">
        <v>32</v>
      </c>
      <c r="AB3" s="44" t="s">
        <v>33</v>
      </c>
      <c r="AC3" s="278"/>
      <c r="AD3" s="41" t="s">
        <v>28</v>
      </c>
      <c r="AE3" s="41" t="s">
        <v>29</v>
      </c>
      <c r="AF3" s="42" t="s">
        <v>30</v>
      </c>
      <c r="AG3" s="42" t="s">
        <v>31</v>
      </c>
      <c r="AH3" s="54" t="s">
        <v>32</v>
      </c>
      <c r="AI3" s="44" t="s">
        <v>33</v>
      </c>
      <c r="AZ3" s="278"/>
      <c r="BA3" s="41" t="s">
        <v>28</v>
      </c>
      <c r="BB3" s="41" t="s">
        <v>29</v>
      </c>
      <c r="BC3" s="42" t="s">
        <v>30</v>
      </c>
      <c r="BD3" s="42" t="s">
        <v>31</v>
      </c>
    </row>
    <row r="4" spans="1:56" s="50" customFormat="1" ht="18.75" customHeight="1" hidden="1">
      <c r="A4" s="278"/>
      <c r="B4" s="262" t="s">
        <v>35</v>
      </c>
      <c r="C4" s="262"/>
      <c r="D4" s="262"/>
      <c r="E4" s="262"/>
      <c r="F4" s="45"/>
      <c r="G4" s="46"/>
      <c r="H4" s="290"/>
      <c r="I4" s="270" t="s">
        <v>38</v>
      </c>
      <c r="J4" s="270"/>
      <c r="K4" s="270"/>
      <c r="L4" s="271"/>
      <c r="M4" s="45"/>
      <c r="N4" s="47"/>
      <c r="O4" s="290"/>
      <c r="P4" s="262" t="s">
        <v>36</v>
      </c>
      <c r="Q4" s="262"/>
      <c r="R4" s="262"/>
      <c r="S4" s="262"/>
      <c r="T4" s="43"/>
      <c r="U4" s="48"/>
      <c r="V4" s="290"/>
      <c r="W4" s="262" t="s">
        <v>37</v>
      </c>
      <c r="X4" s="262"/>
      <c r="Y4" s="262"/>
      <c r="Z4" s="262"/>
      <c r="AA4" s="45"/>
      <c r="AB4" s="47"/>
      <c r="AC4" s="278"/>
      <c r="AD4" s="262" t="s">
        <v>34</v>
      </c>
      <c r="AE4" s="262"/>
      <c r="AF4" s="262"/>
      <c r="AG4" s="262"/>
      <c r="AH4" s="45"/>
      <c r="AI4" s="47"/>
      <c r="AZ4" s="278"/>
      <c r="BA4" s="262" t="s">
        <v>34</v>
      </c>
      <c r="BB4" s="262"/>
      <c r="BC4" s="262"/>
      <c r="BD4" s="262"/>
    </row>
    <row r="5" spans="1:56" s="50" customFormat="1" ht="18.75" customHeight="1">
      <c r="A5" s="277" t="s">
        <v>39</v>
      </c>
      <c r="B5" s="273"/>
      <c r="C5" s="273"/>
      <c r="D5" s="273"/>
      <c r="E5" s="273"/>
      <c r="F5" s="85"/>
      <c r="G5" s="86"/>
      <c r="H5" s="272" t="s">
        <v>39</v>
      </c>
      <c r="I5" s="273"/>
      <c r="J5" s="273"/>
      <c r="K5" s="273"/>
      <c r="L5" s="274"/>
      <c r="M5" s="85"/>
      <c r="N5" s="87"/>
      <c r="O5" s="272" t="s">
        <v>39</v>
      </c>
      <c r="P5" s="273"/>
      <c r="Q5" s="273"/>
      <c r="R5" s="273"/>
      <c r="S5" s="273"/>
      <c r="T5" s="85"/>
      <c r="U5" s="87"/>
      <c r="V5" s="272" t="s">
        <v>39</v>
      </c>
      <c r="W5" s="273"/>
      <c r="X5" s="273"/>
      <c r="Y5" s="273"/>
      <c r="Z5" s="273"/>
      <c r="AA5" s="85"/>
      <c r="AB5" s="87"/>
      <c r="AC5" s="277" t="s">
        <v>39</v>
      </c>
      <c r="AD5" s="273"/>
      <c r="AE5" s="273"/>
      <c r="AF5" s="273"/>
      <c r="AG5" s="273"/>
      <c r="AH5" s="45"/>
      <c r="AI5" s="47"/>
      <c r="AZ5" s="277" t="s">
        <v>39</v>
      </c>
      <c r="BA5" s="273"/>
      <c r="BB5" s="273"/>
      <c r="BC5" s="273"/>
      <c r="BD5" s="273"/>
    </row>
    <row r="6" spans="1:56" s="50" customFormat="1" ht="18.75" customHeight="1">
      <c r="A6" s="303" t="s">
        <v>249</v>
      </c>
      <c r="B6" s="21" t="s">
        <v>248</v>
      </c>
      <c r="C6" s="21">
        <v>2</v>
      </c>
      <c r="D6" s="75">
        <f>C6*AF1</f>
        <v>144</v>
      </c>
      <c r="E6" s="75" t="s">
        <v>59</v>
      </c>
      <c r="F6" s="157"/>
      <c r="G6" s="52">
        <f aca="true" t="shared" si="0" ref="G6:G12">D6*F6</f>
        <v>0</v>
      </c>
      <c r="H6" s="266" t="s">
        <v>191</v>
      </c>
      <c r="I6" s="21" t="s">
        <v>168</v>
      </c>
      <c r="J6" s="21">
        <v>0.5</v>
      </c>
      <c r="K6" s="75">
        <f>ROUND($AF$1*J6,0)</f>
        <v>36</v>
      </c>
      <c r="L6" s="74" t="s">
        <v>65</v>
      </c>
      <c r="M6" s="51"/>
      <c r="N6" s="52">
        <f aca="true" t="shared" si="1" ref="N6:N12">K6*M6</f>
        <v>0</v>
      </c>
      <c r="O6" s="268" t="s">
        <v>118</v>
      </c>
      <c r="P6" s="56" t="s">
        <v>116</v>
      </c>
      <c r="Q6" s="148">
        <v>80</v>
      </c>
      <c r="R6" s="75">
        <f>ROUND($AF$1*Q6/1200,0)</f>
        <v>5</v>
      </c>
      <c r="S6" s="122" t="s">
        <v>76</v>
      </c>
      <c r="T6" s="157"/>
      <c r="U6" s="52">
        <f aca="true" t="shared" si="2" ref="U6:U12">R6*T6</f>
        <v>0</v>
      </c>
      <c r="V6" s="266" t="s">
        <v>201</v>
      </c>
      <c r="W6" s="53" t="s">
        <v>180</v>
      </c>
      <c r="X6" s="53">
        <v>20</v>
      </c>
      <c r="Y6" s="75">
        <f>ROUND($AF$1*X6/1000,1)</f>
        <v>1.4</v>
      </c>
      <c r="Z6" s="96" t="s">
        <v>0</v>
      </c>
      <c r="AA6" s="51"/>
      <c r="AB6" s="52">
        <f aca="true" t="shared" si="3" ref="AB6:AB12">Y6*AA6</f>
        <v>0</v>
      </c>
      <c r="AC6" s="266" t="s">
        <v>132</v>
      </c>
      <c r="AD6" s="53" t="s">
        <v>193</v>
      </c>
      <c r="AE6" s="53">
        <v>70</v>
      </c>
      <c r="AF6" s="75">
        <f>ROUND($AF$1*AE6/1000,1)</f>
        <v>5</v>
      </c>
      <c r="AG6" s="74" t="s">
        <v>0</v>
      </c>
      <c r="AH6" s="51"/>
      <c r="AI6" s="52">
        <f aca="true" t="shared" si="4" ref="AI6:AI12">AF6*AH6</f>
        <v>0</v>
      </c>
      <c r="AZ6" s="266" t="s">
        <v>132</v>
      </c>
      <c r="BA6" s="53" t="s">
        <v>68</v>
      </c>
      <c r="BB6" s="53">
        <v>50</v>
      </c>
      <c r="BC6" s="75">
        <f>ROUND($AF$1*BB6/1000,1)</f>
        <v>3.6</v>
      </c>
      <c r="BD6" s="74" t="s">
        <v>0</v>
      </c>
    </row>
    <row r="7" spans="1:56" s="50" customFormat="1" ht="18.75" customHeight="1">
      <c r="A7" s="304"/>
      <c r="B7" s="21"/>
      <c r="C7" s="21"/>
      <c r="D7" s="75"/>
      <c r="E7" s="75"/>
      <c r="F7" s="157"/>
      <c r="G7" s="52">
        <f t="shared" si="0"/>
        <v>0</v>
      </c>
      <c r="H7" s="267"/>
      <c r="I7" s="21" t="s">
        <v>130</v>
      </c>
      <c r="J7" s="21">
        <v>20</v>
      </c>
      <c r="K7" s="75">
        <f>ROUND($AF$1*J7/1000,1)</f>
        <v>1.4</v>
      </c>
      <c r="L7" s="74" t="s">
        <v>2</v>
      </c>
      <c r="M7" s="51"/>
      <c r="N7" s="52">
        <f t="shared" si="1"/>
        <v>0</v>
      </c>
      <c r="O7" s="269"/>
      <c r="P7" s="148" t="s">
        <v>102</v>
      </c>
      <c r="Q7" s="148">
        <v>1</v>
      </c>
      <c r="R7" s="75" t="s">
        <v>23</v>
      </c>
      <c r="S7" s="91" t="s">
        <v>0</v>
      </c>
      <c r="T7" s="157"/>
      <c r="U7" s="52" t="e">
        <f t="shared" si="2"/>
        <v>#VALUE!</v>
      </c>
      <c r="V7" s="267"/>
      <c r="W7" s="53" t="s">
        <v>183</v>
      </c>
      <c r="X7" s="53">
        <v>13.5</v>
      </c>
      <c r="Y7" s="75">
        <v>3</v>
      </c>
      <c r="Z7" s="74" t="s">
        <v>0</v>
      </c>
      <c r="AA7" s="51"/>
      <c r="AB7" s="52">
        <f t="shared" si="3"/>
        <v>0</v>
      </c>
      <c r="AC7" s="267"/>
      <c r="AD7" s="53" t="s">
        <v>70</v>
      </c>
      <c r="AE7" s="53">
        <v>5</v>
      </c>
      <c r="AF7" s="75">
        <f>ROUND($AF$1*AE7/1000,1)</f>
        <v>0.4</v>
      </c>
      <c r="AG7" s="74" t="s">
        <v>0</v>
      </c>
      <c r="AH7" s="51"/>
      <c r="AI7" s="52">
        <f t="shared" si="4"/>
        <v>0</v>
      </c>
      <c r="AZ7" s="267"/>
      <c r="BA7" s="53" t="s">
        <v>70</v>
      </c>
      <c r="BB7" s="53">
        <v>5</v>
      </c>
      <c r="BC7" s="75">
        <f>ROUND($AF$1*BB7/1000,1)</f>
        <v>0.4</v>
      </c>
      <c r="BD7" s="74" t="s">
        <v>0</v>
      </c>
    </row>
    <row r="8" spans="1:56" s="50" customFormat="1" ht="18.75" customHeight="1">
      <c r="A8" s="304"/>
      <c r="B8" s="60"/>
      <c r="C8" s="52"/>
      <c r="D8" s="52"/>
      <c r="E8" s="52"/>
      <c r="F8" s="157"/>
      <c r="G8" s="52">
        <f t="shared" si="0"/>
        <v>0</v>
      </c>
      <c r="H8" s="267"/>
      <c r="I8" s="21" t="s">
        <v>58</v>
      </c>
      <c r="J8" s="22">
        <v>1</v>
      </c>
      <c r="K8" s="75">
        <f>ROUND($AF$1*J8,0)</f>
        <v>72</v>
      </c>
      <c r="L8" s="23" t="s">
        <v>17</v>
      </c>
      <c r="M8" s="51"/>
      <c r="N8" s="52">
        <f t="shared" si="1"/>
        <v>0</v>
      </c>
      <c r="O8" s="269"/>
      <c r="P8" s="148" t="s">
        <v>117</v>
      </c>
      <c r="Q8" s="148">
        <v>20</v>
      </c>
      <c r="R8" s="75" t="s">
        <v>23</v>
      </c>
      <c r="S8" s="91" t="s">
        <v>0</v>
      </c>
      <c r="T8" s="157"/>
      <c r="U8" s="52" t="e">
        <f t="shared" si="2"/>
        <v>#VALUE!</v>
      </c>
      <c r="V8" s="267"/>
      <c r="W8" s="53" t="s">
        <v>124</v>
      </c>
      <c r="X8" s="53">
        <v>13.5</v>
      </c>
      <c r="Y8" s="75">
        <f>ROUND($AF$1*X8/1000,1)</f>
        <v>1</v>
      </c>
      <c r="Z8" s="74" t="s">
        <v>0</v>
      </c>
      <c r="AA8" s="51"/>
      <c r="AB8" s="52">
        <f t="shared" si="3"/>
        <v>0</v>
      </c>
      <c r="AC8" s="267"/>
      <c r="AD8" s="53" t="s">
        <v>133</v>
      </c>
      <c r="AE8" s="53">
        <v>22</v>
      </c>
      <c r="AF8" s="75" t="s">
        <v>23</v>
      </c>
      <c r="AG8" s="74" t="s">
        <v>0</v>
      </c>
      <c r="AH8" s="51"/>
      <c r="AI8" s="52" t="e">
        <f t="shared" si="4"/>
        <v>#VALUE!</v>
      </c>
      <c r="AR8" s="266" t="s">
        <v>57</v>
      </c>
      <c r="AS8" s="21" t="s">
        <v>58</v>
      </c>
      <c r="AT8" s="22">
        <v>1.5</v>
      </c>
      <c r="AU8" s="75">
        <v>90</v>
      </c>
      <c r="AV8" s="23" t="s">
        <v>17</v>
      </c>
      <c r="AW8" s="51">
        <v>65</v>
      </c>
      <c r="AX8" s="52"/>
      <c r="AZ8" s="267"/>
      <c r="BA8" s="53" t="s">
        <v>133</v>
      </c>
      <c r="BB8" s="53">
        <v>22</v>
      </c>
      <c r="BC8" s="75" t="s">
        <v>23</v>
      </c>
      <c r="BD8" s="74" t="s">
        <v>0</v>
      </c>
    </row>
    <row r="9" spans="1:56" s="50" customFormat="1" ht="18.75" customHeight="1">
      <c r="A9" s="304"/>
      <c r="B9" s="60" t="s">
        <v>232</v>
      </c>
      <c r="C9" s="52">
        <v>80</v>
      </c>
      <c r="D9" s="75">
        <f>ROUND($AF$1*C9/1000,0)</f>
        <v>6</v>
      </c>
      <c r="E9" s="52" t="s">
        <v>52</v>
      </c>
      <c r="F9" s="157"/>
      <c r="G9" s="52">
        <f t="shared" si="0"/>
        <v>0</v>
      </c>
      <c r="H9" s="267"/>
      <c r="I9" s="331" t="s">
        <v>131</v>
      </c>
      <c r="J9" s="332"/>
      <c r="K9" s="332"/>
      <c r="L9" s="333"/>
      <c r="M9" s="51"/>
      <c r="N9" s="52">
        <f t="shared" si="1"/>
        <v>0</v>
      </c>
      <c r="O9" s="269"/>
      <c r="P9" s="56" t="s">
        <v>119</v>
      </c>
      <c r="Q9" s="148">
        <v>10</v>
      </c>
      <c r="R9" s="75" t="s">
        <v>23</v>
      </c>
      <c r="S9" s="91" t="s">
        <v>0</v>
      </c>
      <c r="T9" s="157"/>
      <c r="U9" s="52" t="e">
        <f t="shared" si="2"/>
        <v>#VALUE!</v>
      </c>
      <c r="V9" s="267"/>
      <c r="W9" s="21" t="s">
        <v>218</v>
      </c>
      <c r="X9" s="53">
        <v>20</v>
      </c>
      <c r="Y9" s="75">
        <f>ROUND($AF$1*X9/1000,1)</f>
        <v>1.4</v>
      </c>
      <c r="Z9" s="74" t="s">
        <v>0</v>
      </c>
      <c r="AA9" s="51"/>
      <c r="AB9" s="52">
        <f t="shared" si="3"/>
        <v>0</v>
      </c>
      <c r="AC9" s="267"/>
      <c r="AD9" s="53" t="s">
        <v>1</v>
      </c>
      <c r="AE9" s="53">
        <v>30</v>
      </c>
      <c r="AF9" s="75">
        <f>ROUND($AF$1*AE9/1000,1)</f>
        <v>2.2</v>
      </c>
      <c r="AG9" s="74" t="s">
        <v>0</v>
      </c>
      <c r="AH9" s="51"/>
      <c r="AI9" s="52">
        <f t="shared" si="4"/>
        <v>0</v>
      </c>
      <c r="AR9" s="267"/>
      <c r="AS9" s="21"/>
      <c r="AT9" s="22"/>
      <c r="AU9" s="24"/>
      <c r="AV9" s="25"/>
      <c r="AW9" s="51">
        <v>45</v>
      </c>
      <c r="AX9" s="52">
        <f>AU9*AW9</f>
        <v>0</v>
      </c>
      <c r="AZ9" s="267"/>
      <c r="BA9" s="53" t="s">
        <v>1</v>
      </c>
      <c r="BB9" s="53">
        <v>30</v>
      </c>
      <c r="BC9" s="75">
        <f>ROUND($AF$1*BB9/1000,1)</f>
        <v>2.2</v>
      </c>
      <c r="BD9" s="74" t="s">
        <v>0</v>
      </c>
    </row>
    <row r="10" spans="1:56" s="50" customFormat="1" ht="18.75" customHeight="1">
      <c r="A10" s="304"/>
      <c r="B10" s="21" t="s">
        <v>241</v>
      </c>
      <c r="C10" s="21">
        <v>40</v>
      </c>
      <c r="D10" s="75">
        <f>ROUND($AF$1*C10/1000,0)</f>
        <v>3</v>
      </c>
      <c r="E10" s="75" t="s">
        <v>21</v>
      </c>
      <c r="F10" s="157"/>
      <c r="G10" s="52">
        <f t="shared" si="0"/>
        <v>0</v>
      </c>
      <c r="H10" s="267"/>
      <c r="I10" s="21"/>
      <c r="J10" s="21"/>
      <c r="K10" s="75"/>
      <c r="L10" s="74"/>
      <c r="M10" s="51"/>
      <c r="N10" s="52">
        <f t="shared" si="1"/>
        <v>0</v>
      </c>
      <c r="O10" s="269"/>
      <c r="P10" s="148" t="s">
        <v>114</v>
      </c>
      <c r="Q10" s="148">
        <v>34</v>
      </c>
      <c r="R10" s="75">
        <f>ROUND($AF$1*Q10/1000,1)</f>
        <v>2.4</v>
      </c>
      <c r="S10" s="91" t="s">
        <v>0</v>
      </c>
      <c r="T10" s="157"/>
      <c r="U10" s="52">
        <f t="shared" si="2"/>
        <v>0</v>
      </c>
      <c r="V10" s="267"/>
      <c r="W10" s="53" t="s">
        <v>70</v>
      </c>
      <c r="X10" s="53">
        <v>10</v>
      </c>
      <c r="Y10" s="75">
        <f>ROUND($AF$1*X10/1000,1)</f>
        <v>0.7</v>
      </c>
      <c r="Z10" s="74" t="s">
        <v>0</v>
      </c>
      <c r="AA10" s="51"/>
      <c r="AB10" s="52">
        <f t="shared" si="3"/>
        <v>0</v>
      </c>
      <c r="AC10" s="267"/>
      <c r="AD10" s="53" t="s">
        <v>3</v>
      </c>
      <c r="AE10" s="53">
        <v>2</v>
      </c>
      <c r="AF10" s="75">
        <f>ROUND($AF$1*AE10/1000,1)</f>
        <v>0.1</v>
      </c>
      <c r="AG10" s="74" t="s">
        <v>0</v>
      </c>
      <c r="AH10" s="51"/>
      <c r="AI10" s="52">
        <f t="shared" si="4"/>
        <v>0</v>
      </c>
      <c r="AK10" s="266" t="s">
        <v>179</v>
      </c>
      <c r="AL10" s="53" t="s">
        <v>180</v>
      </c>
      <c r="AM10" s="53">
        <v>20</v>
      </c>
      <c r="AN10" s="75">
        <f>ROUND($AF$1*AM10/1000,1)</f>
        <v>1.4</v>
      </c>
      <c r="AO10" s="96" t="s">
        <v>0</v>
      </c>
      <c r="AP10" s="51">
        <v>55</v>
      </c>
      <c r="AQ10" s="52">
        <f>AN10*AP10</f>
        <v>77</v>
      </c>
      <c r="AR10" s="267"/>
      <c r="AS10" s="21" t="s">
        <v>41</v>
      </c>
      <c r="AT10" s="22">
        <v>20</v>
      </c>
      <c r="AU10" s="75">
        <v>40</v>
      </c>
      <c r="AV10" s="23" t="s">
        <v>59</v>
      </c>
      <c r="AW10" s="51"/>
      <c r="AX10" s="52">
        <f>AU10*AW10</f>
        <v>0</v>
      </c>
      <c r="AZ10" s="267"/>
      <c r="BA10" s="53" t="s">
        <v>3</v>
      </c>
      <c r="BB10" s="53">
        <v>2</v>
      </c>
      <c r="BC10" s="75">
        <f>ROUND($AF$1*BB10/1000,1)</f>
        <v>0.1</v>
      </c>
      <c r="BD10" s="74" t="s">
        <v>0</v>
      </c>
    </row>
    <row r="11" spans="1:56" s="50" customFormat="1" ht="18.75" customHeight="1">
      <c r="A11" s="304"/>
      <c r="B11" s="92"/>
      <c r="C11" s="92"/>
      <c r="D11" s="75"/>
      <c r="E11" s="75"/>
      <c r="F11" s="157"/>
      <c r="G11" s="52">
        <f t="shared" si="0"/>
        <v>0</v>
      </c>
      <c r="H11" s="267"/>
      <c r="I11" s="21"/>
      <c r="J11" s="21"/>
      <c r="K11" s="75"/>
      <c r="L11" s="74"/>
      <c r="M11" s="51"/>
      <c r="N11" s="52">
        <f t="shared" si="1"/>
        <v>0</v>
      </c>
      <c r="O11" s="269"/>
      <c r="P11" s="56" t="s">
        <v>115</v>
      </c>
      <c r="Q11" s="56">
        <v>2</v>
      </c>
      <c r="R11" s="75">
        <f>ROUND($AF$1*Q11/1000,1)</f>
        <v>0.1</v>
      </c>
      <c r="S11" s="91" t="s">
        <v>0</v>
      </c>
      <c r="T11" s="157"/>
      <c r="U11" s="52">
        <f t="shared" si="2"/>
        <v>0</v>
      </c>
      <c r="V11" s="267"/>
      <c r="W11" s="53" t="s">
        <v>151</v>
      </c>
      <c r="X11" s="53">
        <v>2</v>
      </c>
      <c r="Y11" s="75" t="s">
        <v>23</v>
      </c>
      <c r="Z11" s="74" t="s">
        <v>0</v>
      </c>
      <c r="AA11" s="51"/>
      <c r="AB11" s="52" t="e">
        <f t="shared" si="3"/>
        <v>#VALUE!</v>
      </c>
      <c r="AC11" s="267"/>
      <c r="AD11" s="53" t="s">
        <v>26</v>
      </c>
      <c r="AE11" s="53">
        <v>10</v>
      </c>
      <c r="AF11" s="75">
        <f>ROUND($AF$1*AE11/1000,1)</f>
        <v>0.7</v>
      </c>
      <c r="AG11" s="74" t="s">
        <v>0</v>
      </c>
      <c r="AH11" s="51"/>
      <c r="AI11" s="52">
        <f t="shared" si="4"/>
        <v>0</v>
      </c>
      <c r="AK11" s="267"/>
      <c r="AL11" s="53" t="s">
        <v>183</v>
      </c>
      <c r="AM11" s="53">
        <v>13.5</v>
      </c>
      <c r="AN11" s="75">
        <v>3</v>
      </c>
      <c r="AO11" s="74" t="s">
        <v>0</v>
      </c>
      <c r="AP11" s="51">
        <v>86</v>
      </c>
      <c r="AQ11" s="52">
        <f>AN11*AP11</f>
        <v>258</v>
      </c>
      <c r="AR11" s="267"/>
      <c r="AS11" s="21" t="s">
        <v>60</v>
      </c>
      <c r="AT11" s="21">
        <v>10</v>
      </c>
      <c r="AU11" s="75">
        <v>4</v>
      </c>
      <c r="AV11" s="23" t="s">
        <v>21</v>
      </c>
      <c r="AW11" s="51">
        <v>125</v>
      </c>
      <c r="AX11" s="52">
        <f>AU11*AW11</f>
        <v>500</v>
      </c>
      <c r="AZ11" s="267"/>
      <c r="BA11" s="53" t="s">
        <v>26</v>
      </c>
      <c r="BB11" s="53">
        <v>10</v>
      </c>
      <c r="BC11" s="75">
        <f>ROUND($AF$1*BB11/1000,1)</f>
        <v>0.7</v>
      </c>
      <c r="BD11" s="74" t="s">
        <v>0</v>
      </c>
    </row>
    <row r="12" spans="1:56" s="50" customFormat="1" ht="18.75" customHeight="1">
      <c r="A12" s="304"/>
      <c r="B12" s="60"/>
      <c r="C12" s="52"/>
      <c r="D12" s="75"/>
      <c r="E12" s="52"/>
      <c r="F12" s="157"/>
      <c r="G12" s="52">
        <f t="shared" si="0"/>
        <v>0</v>
      </c>
      <c r="H12" s="267"/>
      <c r="I12" s="76"/>
      <c r="J12" s="55"/>
      <c r="K12" s="75"/>
      <c r="L12" s="74"/>
      <c r="M12" s="51"/>
      <c r="N12" s="52">
        <f t="shared" si="1"/>
        <v>0</v>
      </c>
      <c r="O12" s="269"/>
      <c r="P12" s="21" t="s">
        <v>70</v>
      </c>
      <c r="Q12" s="56">
        <v>5</v>
      </c>
      <c r="R12" s="75">
        <f>ROUND($AF$1*Q12/1000,1)</f>
        <v>0.4</v>
      </c>
      <c r="S12" s="91" t="s">
        <v>0</v>
      </c>
      <c r="T12" s="157"/>
      <c r="U12" s="52">
        <f t="shared" si="2"/>
        <v>0</v>
      </c>
      <c r="V12" s="267"/>
      <c r="W12" s="53" t="s">
        <v>184</v>
      </c>
      <c r="X12" s="53">
        <v>2</v>
      </c>
      <c r="Y12" s="75">
        <f>ROUND($AF$1*X12/1000,1)</f>
        <v>0.1</v>
      </c>
      <c r="Z12" s="75" t="s">
        <v>0</v>
      </c>
      <c r="AA12" s="157"/>
      <c r="AB12" s="52">
        <f t="shared" si="3"/>
        <v>0</v>
      </c>
      <c r="AC12" s="267"/>
      <c r="AD12" s="53"/>
      <c r="AE12" s="53"/>
      <c r="AF12" s="75"/>
      <c r="AG12" s="74"/>
      <c r="AH12" s="51"/>
      <c r="AI12" s="52">
        <f t="shared" si="4"/>
        <v>0</v>
      </c>
      <c r="AK12" s="267"/>
      <c r="AL12" s="53" t="s">
        <v>124</v>
      </c>
      <c r="AM12" s="53">
        <v>13.5</v>
      </c>
      <c r="AN12" s="75">
        <f>ROUND($AF$1*AM12/1000,1)</f>
        <v>1</v>
      </c>
      <c r="AO12" s="74" t="s">
        <v>0</v>
      </c>
      <c r="AP12" s="51">
        <v>40</v>
      </c>
      <c r="AQ12" s="52">
        <f>AN12*AP12</f>
        <v>40</v>
      </c>
      <c r="AR12" s="267"/>
      <c r="AS12" s="21" t="s">
        <v>61</v>
      </c>
      <c r="AT12" s="22">
        <v>1</v>
      </c>
      <c r="AU12" s="75">
        <f>ROUND($AI$1*AT12/1000,1)</f>
        <v>0</v>
      </c>
      <c r="AV12" s="74" t="s">
        <v>0</v>
      </c>
      <c r="AW12" s="51"/>
      <c r="AX12" s="52">
        <f>AU12*AW12</f>
        <v>0</v>
      </c>
      <c r="AZ12" s="267"/>
      <c r="BA12" s="53"/>
      <c r="BB12" s="53"/>
      <c r="BC12" s="75"/>
      <c r="BD12" s="74"/>
    </row>
    <row r="13" spans="1:56" s="50" customFormat="1" ht="18.75" customHeight="1">
      <c r="A13" s="304"/>
      <c r="B13" s="21"/>
      <c r="C13" s="21"/>
      <c r="D13" s="75"/>
      <c r="E13" s="75"/>
      <c r="F13" s="157"/>
      <c r="G13" s="52"/>
      <c r="H13" s="267"/>
      <c r="I13" s="28"/>
      <c r="J13" s="28"/>
      <c r="K13" s="24"/>
      <c r="L13" s="25"/>
      <c r="M13" s="51"/>
      <c r="N13" s="52"/>
      <c r="O13" s="269"/>
      <c r="P13" s="21"/>
      <c r="Q13" s="21"/>
      <c r="R13" s="91"/>
      <c r="S13" s="91"/>
      <c r="T13" s="157"/>
      <c r="U13" s="52"/>
      <c r="V13" s="267"/>
      <c r="W13" s="53" t="s">
        <v>182</v>
      </c>
      <c r="X13" s="53">
        <v>1</v>
      </c>
      <c r="Y13" s="75">
        <f>ROUND($AF$1*X13/1000,1)</f>
        <v>0.1</v>
      </c>
      <c r="Z13" s="75" t="s">
        <v>0</v>
      </c>
      <c r="AA13" s="157"/>
      <c r="AB13" s="52"/>
      <c r="AC13" s="267"/>
      <c r="AD13" s="53"/>
      <c r="AE13" s="53"/>
      <c r="AF13" s="75"/>
      <c r="AG13" s="74"/>
      <c r="AH13" s="51"/>
      <c r="AI13" s="52"/>
      <c r="AK13" s="267"/>
      <c r="AL13" s="21" t="s">
        <v>181</v>
      </c>
      <c r="AM13" s="53">
        <v>20</v>
      </c>
      <c r="AN13" s="75">
        <f>ROUND($AF$1*AM13/1000,1)</f>
        <v>1.4</v>
      </c>
      <c r="AO13" s="74" t="s">
        <v>0</v>
      </c>
      <c r="AP13" s="51">
        <v>110</v>
      </c>
      <c r="AQ13" s="52"/>
      <c r="AR13" s="267"/>
      <c r="AS13" s="21" t="s">
        <v>40</v>
      </c>
      <c r="AT13" s="21">
        <v>15</v>
      </c>
      <c r="AU13" s="75">
        <v>0.6</v>
      </c>
      <c r="AV13" s="74" t="s">
        <v>0</v>
      </c>
      <c r="AW13" s="51"/>
      <c r="AX13" s="52">
        <f>AU13*AW13</f>
        <v>0</v>
      </c>
      <c r="AZ13" s="267"/>
      <c r="BA13" s="53"/>
      <c r="BB13" s="53"/>
      <c r="BC13" s="75"/>
      <c r="BD13" s="74"/>
    </row>
    <row r="14" spans="1:56" s="50" customFormat="1" ht="18.75" customHeight="1">
      <c r="A14" s="304"/>
      <c r="B14" s="95"/>
      <c r="C14" s="95"/>
      <c r="D14" s="93"/>
      <c r="E14" s="93"/>
      <c r="F14" s="157"/>
      <c r="G14" s="52"/>
      <c r="H14" s="267"/>
      <c r="I14" s="28"/>
      <c r="J14" s="28"/>
      <c r="K14" s="24"/>
      <c r="L14" s="25"/>
      <c r="M14" s="51"/>
      <c r="N14" s="52"/>
      <c r="O14" s="269"/>
      <c r="P14" s="21"/>
      <c r="Q14" s="21"/>
      <c r="R14" s="75"/>
      <c r="S14" s="75"/>
      <c r="T14" s="157"/>
      <c r="U14" s="52"/>
      <c r="V14" s="267"/>
      <c r="W14" s="53"/>
      <c r="X14" s="53"/>
      <c r="Y14" s="75"/>
      <c r="Z14" s="75"/>
      <c r="AA14" s="157"/>
      <c r="AB14" s="52"/>
      <c r="AC14" s="267"/>
      <c r="AD14" s="53"/>
      <c r="AE14" s="53"/>
      <c r="AF14" s="75"/>
      <c r="AG14" s="74"/>
      <c r="AH14" s="51"/>
      <c r="AI14" s="52"/>
      <c r="AK14" s="267"/>
      <c r="AL14" s="53" t="s">
        <v>70</v>
      </c>
      <c r="AM14" s="53">
        <v>10</v>
      </c>
      <c r="AN14" s="75" t="s">
        <v>23</v>
      </c>
      <c r="AO14" s="74" t="s">
        <v>0</v>
      </c>
      <c r="AP14" s="51"/>
      <c r="AQ14" s="52"/>
      <c r="AR14" s="267"/>
      <c r="AS14" s="26" t="s">
        <v>62</v>
      </c>
      <c r="AT14" s="27">
        <v>1</v>
      </c>
      <c r="AU14" s="75">
        <v>4</v>
      </c>
      <c r="AV14" s="74" t="s">
        <v>21</v>
      </c>
      <c r="AW14" s="51"/>
      <c r="AX14" s="52"/>
      <c r="AZ14" s="267"/>
      <c r="BA14" s="53"/>
      <c r="BB14" s="53"/>
      <c r="BC14" s="75"/>
      <c r="BD14" s="74"/>
    </row>
    <row r="15" spans="1:56" s="50" customFormat="1" ht="18.75" customHeight="1">
      <c r="A15" s="304"/>
      <c r="B15" s="95"/>
      <c r="C15" s="95"/>
      <c r="D15" s="93"/>
      <c r="E15" s="93"/>
      <c r="F15" s="157"/>
      <c r="G15" s="52"/>
      <c r="H15" s="267"/>
      <c r="I15" s="28"/>
      <c r="J15" s="28"/>
      <c r="K15" s="24"/>
      <c r="L15" s="25"/>
      <c r="M15" s="51"/>
      <c r="N15" s="52"/>
      <c r="O15" s="269"/>
      <c r="P15" s="21"/>
      <c r="Q15" s="21"/>
      <c r="R15" s="75"/>
      <c r="S15" s="75"/>
      <c r="T15" s="157"/>
      <c r="U15" s="52"/>
      <c r="V15" s="267"/>
      <c r="W15" s="53"/>
      <c r="X15" s="53"/>
      <c r="Y15" s="75"/>
      <c r="Z15" s="75"/>
      <c r="AA15" s="157"/>
      <c r="AB15" s="52"/>
      <c r="AC15" s="267"/>
      <c r="AD15" s="53"/>
      <c r="AE15" s="53"/>
      <c r="AF15" s="75"/>
      <c r="AG15" s="74"/>
      <c r="AH15" s="51"/>
      <c r="AI15" s="52"/>
      <c r="AK15" s="267"/>
      <c r="AL15" s="53" t="s">
        <v>151</v>
      </c>
      <c r="AM15" s="53">
        <v>2</v>
      </c>
      <c r="AN15" s="75" t="s">
        <v>23</v>
      </c>
      <c r="AO15" s="74" t="s">
        <v>0</v>
      </c>
      <c r="AP15" s="51">
        <v>39</v>
      </c>
      <c r="AQ15" s="52"/>
      <c r="AR15" s="267"/>
      <c r="AS15" s="26"/>
      <c r="AT15" s="27"/>
      <c r="AU15" s="75"/>
      <c r="AV15" s="74"/>
      <c r="AW15" s="51"/>
      <c r="AX15" s="52"/>
      <c r="AZ15" s="267"/>
      <c r="BA15" s="53"/>
      <c r="BB15" s="53"/>
      <c r="BC15" s="75"/>
      <c r="BD15" s="74"/>
    </row>
    <row r="16" spans="1:56" s="40" customFormat="1" ht="18.75" customHeight="1">
      <c r="A16" s="304"/>
      <c r="B16" s="95"/>
      <c r="C16" s="95"/>
      <c r="D16" s="93"/>
      <c r="E16" s="93"/>
      <c r="F16" s="157"/>
      <c r="G16" s="52"/>
      <c r="H16" s="267"/>
      <c r="I16" s="22"/>
      <c r="J16" s="22"/>
      <c r="K16" s="24"/>
      <c r="L16" s="25"/>
      <c r="M16" s="51"/>
      <c r="N16" s="52"/>
      <c r="O16" s="269"/>
      <c r="P16" s="21"/>
      <c r="Q16" s="21"/>
      <c r="R16" s="91"/>
      <c r="S16" s="91"/>
      <c r="T16" s="157"/>
      <c r="U16" s="52"/>
      <c r="V16" s="326"/>
      <c r="W16" s="21"/>
      <c r="X16" s="21"/>
      <c r="Y16" s="91"/>
      <c r="Z16" s="94"/>
      <c r="AA16" s="51"/>
      <c r="AB16" s="52"/>
      <c r="AC16" s="267"/>
      <c r="AD16" s="53"/>
      <c r="AE16" s="53"/>
      <c r="AF16" s="75"/>
      <c r="AG16" s="74"/>
      <c r="AH16" s="51"/>
      <c r="AI16" s="52"/>
      <c r="AK16" s="267"/>
      <c r="AL16" s="53" t="s">
        <v>184</v>
      </c>
      <c r="AM16" s="53">
        <v>2</v>
      </c>
      <c r="AN16" s="75">
        <f>ROUND($AF$1*AM16/1000,1)</f>
        <v>0.1</v>
      </c>
      <c r="AO16" s="74" t="s">
        <v>0</v>
      </c>
      <c r="AP16" s="51">
        <v>10</v>
      </c>
      <c r="AQ16" s="52"/>
      <c r="AR16" s="267"/>
      <c r="AS16" s="28"/>
      <c r="AT16" s="28"/>
      <c r="AU16" s="24"/>
      <c r="AV16" s="25"/>
      <c r="AW16" s="51"/>
      <c r="AX16" s="52"/>
      <c r="AZ16" s="267"/>
      <c r="BA16" s="53"/>
      <c r="BB16" s="53"/>
      <c r="BC16" s="75"/>
      <c r="BD16" s="74"/>
    </row>
    <row r="17" spans="1:56" s="50" customFormat="1" ht="18.75" customHeight="1">
      <c r="A17" s="265" t="s">
        <v>42</v>
      </c>
      <c r="B17" s="265"/>
      <c r="C17" s="265"/>
      <c r="D17" s="265"/>
      <c r="E17" s="324"/>
      <c r="F17" s="251"/>
      <c r="G17" s="86"/>
      <c r="H17" s="265" t="s">
        <v>42</v>
      </c>
      <c r="I17" s="265"/>
      <c r="J17" s="265"/>
      <c r="K17" s="265"/>
      <c r="L17" s="265"/>
      <c r="M17" s="85"/>
      <c r="N17" s="86"/>
      <c r="O17" s="265" t="s">
        <v>42</v>
      </c>
      <c r="P17" s="265"/>
      <c r="Q17" s="265"/>
      <c r="R17" s="265"/>
      <c r="S17" s="324"/>
      <c r="T17" s="251"/>
      <c r="U17" s="86"/>
      <c r="V17" s="265" t="s">
        <v>42</v>
      </c>
      <c r="W17" s="265"/>
      <c r="X17" s="265"/>
      <c r="Y17" s="265"/>
      <c r="Z17" s="265"/>
      <c r="AA17" s="85"/>
      <c r="AB17" s="86"/>
      <c r="AC17" s="265" t="s">
        <v>42</v>
      </c>
      <c r="AD17" s="265"/>
      <c r="AE17" s="265"/>
      <c r="AF17" s="265"/>
      <c r="AG17" s="265"/>
      <c r="AH17" s="85"/>
      <c r="AI17" s="86"/>
      <c r="AK17" s="267"/>
      <c r="AL17" s="53" t="s">
        <v>182</v>
      </c>
      <c r="AM17" s="53">
        <v>1</v>
      </c>
      <c r="AN17" s="75">
        <f>ROUND($AF$1*AM17/1000,1)</f>
        <v>0.1</v>
      </c>
      <c r="AO17" s="74" t="s">
        <v>0</v>
      </c>
      <c r="AP17" s="51"/>
      <c r="AQ17" s="52"/>
      <c r="AR17" s="267"/>
      <c r="AS17" s="28"/>
      <c r="AT17" s="28"/>
      <c r="AU17" s="24"/>
      <c r="AV17" s="25"/>
      <c r="AW17" s="51"/>
      <c r="AX17" s="52"/>
      <c r="AZ17" s="265" t="s">
        <v>42</v>
      </c>
      <c r="BA17" s="265"/>
      <c r="BB17" s="265"/>
      <c r="BC17" s="265"/>
      <c r="BD17" s="265"/>
    </row>
    <row r="18" spans="1:56" s="50" customFormat="1" ht="18.75" customHeight="1">
      <c r="A18" s="295" t="s">
        <v>134</v>
      </c>
      <c r="B18" s="21" t="s">
        <v>64</v>
      </c>
      <c r="C18" s="21">
        <v>5.5</v>
      </c>
      <c r="D18" s="75">
        <v>2</v>
      </c>
      <c r="E18" s="52" t="s">
        <v>21</v>
      </c>
      <c r="F18" s="157"/>
      <c r="G18" s="52">
        <f>D18*F18</f>
        <v>0</v>
      </c>
      <c r="H18" s="275" t="s">
        <v>153</v>
      </c>
      <c r="I18" s="59" t="s">
        <v>250</v>
      </c>
      <c r="J18" s="59">
        <v>1</v>
      </c>
      <c r="K18" s="75">
        <f>AF1</f>
        <v>72</v>
      </c>
      <c r="L18" s="75" t="s">
        <v>17</v>
      </c>
      <c r="M18" s="157"/>
      <c r="N18" s="61">
        <f>K18*M18</f>
        <v>0</v>
      </c>
      <c r="O18" s="266" t="s">
        <v>46</v>
      </c>
      <c r="P18" s="27" t="s">
        <v>20</v>
      </c>
      <c r="Q18" s="77">
        <v>43</v>
      </c>
      <c r="R18" s="75">
        <f>ROUND($AF$1*Q18/1000,0)</f>
        <v>3</v>
      </c>
      <c r="S18" s="75" t="s">
        <v>0</v>
      </c>
      <c r="T18" s="157"/>
      <c r="U18" s="52">
        <f>R18*T18</f>
        <v>0</v>
      </c>
      <c r="V18" s="327" t="s">
        <v>185</v>
      </c>
      <c r="W18" s="97" t="s">
        <v>186</v>
      </c>
      <c r="X18" s="97">
        <v>25</v>
      </c>
      <c r="Y18" s="164">
        <f>ROUND($AF$1*X18/1000,1)</f>
        <v>1.8</v>
      </c>
      <c r="Z18" s="96" t="s">
        <v>0</v>
      </c>
      <c r="AA18" s="51"/>
      <c r="AB18" s="52">
        <f>Y18*AA18</f>
        <v>0</v>
      </c>
      <c r="AC18" s="266" t="s">
        <v>43</v>
      </c>
      <c r="AD18" s="58" t="s">
        <v>173</v>
      </c>
      <c r="AE18" s="77">
        <v>43</v>
      </c>
      <c r="AF18" s="75">
        <f>ROUND($AF$1*AE18/1000,0)</f>
        <v>3</v>
      </c>
      <c r="AG18" s="74" t="s">
        <v>0</v>
      </c>
      <c r="AH18" s="51"/>
      <c r="AI18" s="52">
        <f>AF18*AH18</f>
        <v>0</v>
      </c>
      <c r="AK18" s="267"/>
      <c r="AL18" s="53"/>
      <c r="AM18" s="53"/>
      <c r="AN18" s="75"/>
      <c r="AO18" s="75"/>
      <c r="AP18" s="51"/>
      <c r="AQ18" s="52"/>
      <c r="AR18" s="267"/>
      <c r="AS18" s="22"/>
      <c r="AT18" s="22"/>
      <c r="AU18" s="24"/>
      <c r="AV18" s="25"/>
      <c r="AW18" s="51"/>
      <c r="AX18" s="52">
        <f>AU18*AW18</f>
        <v>0</v>
      </c>
      <c r="AZ18" s="266" t="s">
        <v>43</v>
      </c>
      <c r="BA18" s="58" t="s">
        <v>173</v>
      </c>
      <c r="BB18" s="77">
        <v>53</v>
      </c>
      <c r="BC18" s="75">
        <f>ROUND($AF$1*BB18/1000,0)</f>
        <v>4</v>
      </c>
      <c r="BD18" s="74" t="s">
        <v>0</v>
      </c>
    </row>
    <row r="19" spans="1:56" s="50" customFormat="1" ht="18.75" customHeight="1">
      <c r="A19" s="296"/>
      <c r="B19" s="21" t="s">
        <v>85</v>
      </c>
      <c r="C19" s="21">
        <v>30</v>
      </c>
      <c r="D19" s="75">
        <f>ROUND($AF$1*C19/1000,1)</f>
        <v>2.2</v>
      </c>
      <c r="E19" s="52" t="s">
        <v>0</v>
      </c>
      <c r="F19" s="157"/>
      <c r="G19" s="52">
        <f>D19*F19</f>
        <v>0</v>
      </c>
      <c r="H19" s="275"/>
      <c r="I19" s="53"/>
      <c r="J19" s="27"/>
      <c r="K19" s="75"/>
      <c r="L19" s="75"/>
      <c r="M19" s="157"/>
      <c r="N19" s="61">
        <f>K19*M19</f>
        <v>0</v>
      </c>
      <c r="O19" s="267"/>
      <c r="P19" s="27" t="s">
        <v>47</v>
      </c>
      <c r="Q19" s="77">
        <v>43</v>
      </c>
      <c r="R19" s="75">
        <f>ROUND($AF$1*Q19/1000,0)</f>
        <v>3</v>
      </c>
      <c r="S19" s="75" t="s">
        <v>0</v>
      </c>
      <c r="T19" s="157"/>
      <c r="U19" s="52">
        <f>R19*T19</f>
        <v>0</v>
      </c>
      <c r="V19" s="296"/>
      <c r="W19" s="97" t="s">
        <v>187</v>
      </c>
      <c r="X19" s="97">
        <v>10</v>
      </c>
      <c r="Y19" s="75">
        <v>0.2</v>
      </c>
      <c r="Z19" s="74" t="s">
        <v>0</v>
      </c>
      <c r="AA19" s="51"/>
      <c r="AB19" s="52">
        <f>Y19*AA19</f>
        <v>0</v>
      </c>
      <c r="AC19" s="267"/>
      <c r="AD19" s="58" t="s">
        <v>49</v>
      </c>
      <c r="AE19" s="77">
        <v>43</v>
      </c>
      <c r="AF19" s="75">
        <f>ROUND($AF$1*AE19/1000,0)</f>
        <v>3</v>
      </c>
      <c r="AG19" s="74" t="s">
        <v>0</v>
      </c>
      <c r="AH19" s="51"/>
      <c r="AI19" s="52">
        <f>AF19*AH19</f>
        <v>0</v>
      </c>
      <c r="AK19" s="267"/>
      <c r="AL19" s="53"/>
      <c r="AM19" s="53"/>
      <c r="AN19" s="75"/>
      <c r="AO19" s="75"/>
      <c r="AP19" s="51"/>
      <c r="AQ19" s="52"/>
      <c r="AR19" s="326"/>
      <c r="AS19" s="22"/>
      <c r="AT19" s="22"/>
      <c r="AU19" s="24"/>
      <c r="AV19" s="25"/>
      <c r="AZ19" s="267"/>
      <c r="BA19" s="58" t="s">
        <v>49</v>
      </c>
      <c r="BB19" s="77">
        <v>54</v>
      </c>
      <c r="BC19" s="75">
        <f>ROUND($AF$1*BB19/1000,0)</f>
        <v>4</v>
      </c>
      <c r="BD19" s="74" t="s">
        <v>0</v>
      </c>
    </row>
    <row r="20" spans="1:56" s="50" customFormat="1" ht="18.75" customHeight="1">
      <c r="A20" s="296"/>
      <c r="B20" s="21" t="s">
        <v>26</v>
      </c>
      <c r="C20" s="21">
        <v>20</v>
      </c>
      <c r="D20" s="75">
        <f>ROUND($AF$1*C20/1000,1)</f>
        <v>1.4</v>
      </c>
      <c r="E20" s="52" t="s">
        <v>0</v>
      </c>
      <c r="F20" s="157"/>
      <c r="G20" s="52">
        <f>D20*F20</f>
        <v>0</v>
      </c>
      <c r="H20" s="275"/>
      <c r="I20" s="248" t="s">
        <v>83</v>
      </c>
      <c r="J20" s="248">
        <v>1</v>
      </c>
      <c r="K20" s="75">
        <f>AF1</f>
        <v>72</v>
      </c>
      <c r="L20" s="75" t="s">
        <v>84</v>
      </c>
      <c r="M20" s="157"/>
      <c r="N20" s="61">
        <f>K20*M20</f>
        <v>0</v>
      </c>
      <c r="O20" s="267"/>
      <c r="P20" s="26" t="s">
        <v>49</v>
      </c>
      <c r="Q20" s="77">
        <v>43</v>
      </c>
      <c r="R20" s="75">
        <f>ROUND($AF$1*Q20/1000,0)</f>
        <v>3</v>
      </c>
      <c r="S20" s="75" t="s">
        <v>0</v>
      </c>
      <c r="T20" s="157"/>
      <c r="U20" s="52">
        <f>R20*T20</f>
        <v>0</v>
      </c>
      <c r="V20" s="296"/>
      <c r="W20" s="21" t="s">
        <v>188</v>
      </c>
      <c r="X20" s="21">
        <v>40</v>
      </c>
      <c r="Y20" s="75">
        <v>1</v>
      </c>
      <c r="Z20" s="74" t="s">
        <v>22</v>
      </c>
      <c r="AA20" s="51"/>
      <c r="AB20" s="52">
        <f>Y20*AA20</f>
        <v>0</v>
      </c>
      <c r="AC20" s="267"/>
      <c r="AD20" s="58" t="s">
        <v>63</v>
      </c>
      <c r="AE20" s="77">
        <v>43</v>
      </c>
      <c r="AF20" s="75">
        <f>ROUND($AF$1*AE20/1000,0)</f>
        <v>3</v>
      </c>
      <c r="AG20" s="74" t="s">
        <v>0</v>
      </c>
      <c r="AH20" s="51"/>
      <c r="AI20" s="52">
        <f>AF20*AH20</f>
        <v>0</v>
      </c>
      <c r="AK20" s="326"/>
      <c r="AL20" s="21"/>
      <c r="AM20" s="21"/>
      <c r="AN20" s="91"/>
      <c r="AO20" s="94"/>
      <c r="AP20" s="51"/>
      <c r="AQ20" s="52">
        <f>AN16*AP20</f>
        <v>0</v>
      </c>
      <c r="AR20" s="295" t="s">
        <v>44</v>
      </c>
      <c r="AS20" s="27" t="s">
        <v>45</v>
      </c>
      <c r="AT20" s="27">
        <v>3.5</v>
      </c>
      <c r="AU20" s="75" t="s">
        <v>23</v>
      </c>
      <c r="AV20" s="74" t="s">
        <v>0</v>
      </c>
      <c r="AW20" s="51"/>
      <c r="AX20" s="52" t="e">
        <f>AU20*AW20</f>
        <v>#VALUE!</v>
      </c>
      <c r="AZ20" s="267"/>
      <c r="BA20" s="58" t="s">
        <v>63</v>
      </c>
      <c r="BB20" s="77">
        <v>55</v>
      </c>
      <c r="BC20" s="75">
        <f>ROUND($AF$1*BB20/1000,0)</f>
        <v>4</v>
      </c>
      <c r="BD20" s="74" t="s">
        <v>0</v>
      </c>
    </row>
    <row r="21" spans="1:56" s="50" customFormat="1" ht="18.75" customHeight="1">
      <c r="A21" s="296"/>
      <c r="B21" s="21" t="s">
        <v>41</v>
      </c>
      <c r="C21" s="21">
        <v>5</v>
      </c>
      <c r="D21" s="75">
        <f>ROUND($AF$1*C21/1000,1)</f>
        <v>0.4</v>
      </c>
      <c r="E21" s="52" t="s">
        <v>0</v>
      </c>
      <c r="F21" s="157"/>
      <c r="G21" s="52">
        <f>D21*F21</f>
        <v>0</v>
      </c>
      <c r="H21" s="275"/>
      <c r="I21" s="59"/>
      <c r="J21" s="59"/>
      <c r="K21" s="75"/>
      <c r="L21" s="75"/>
      <c r="M21" s="157"/>
      <c r="N21" s="61">
        <f>K21*M21</f>
        <v>0</v>
      </c>
      <c r="O21" s="267"/>
      <c r="P21" s="21"/>
      <c r="Q21" s="21"/>
      <c r="R21" s="91"/>
      <c r="S21" s="94"/>
      <c r="T21" s="51"/>
      <c r="U21" s="52">
        <f>R21*T21</f>
        <v>0</v>
      </c>
      <c r="V21" s="296"/>
      <c r="W21" s="241" t="s">
        <v>232</v>
      </c>
      <c r="X21" s="243">
        <v>120</v>
      </c>
      <c r="Y21" s="244" t="s">
        <v>23</v>
      </c>
      <c r="Z21" s="77" t="s">
        <v>52</v>
      </c>
      <c r="AA21" s="157"/>
      <c r="AB21" s="52" t="e">
        <f>Y21*AA21</f>
        <v>#VALUE!</v>
      </c>
      <c r="AC21" s="267"/>
      <c r="AD21" s="21"/>
      <c r="AE21" s="21"/>
      <c r="AF21" s="91"/>
      <c r="AG21" s="94"/>
      <c r="AH21" s="51"/>
      <c r="AI21" s="52">
        <f>AF21*AH21</f>
        <v>0</v>
      </c>
      <c r="AR21" s="296"/>
      <c r="AS21" s="27" t="s">
        <v>48</v>
      </c>
      <c r="AT21" s="27">
        <v>3.5</v>
      </c>
      <c r="AU21" s="75" t="s">
        <v>23</v>
      </c>
      <c r="AV21" s="74" t="s">
        <v>0</v>
      </c>
      <c r="AW21" s="51"/>
      <c r="AX21" s="52" t="e">
        <f>AU21*AW21</f>
        <v>#VALUE!</v>
      </c>
      <c r="AZ21" s="267"/>
      <c r="BA21" s="21"/>
      <c r="BB21" s="21"/>
      <c r="BC21" s="91"/>
      <c r="BD21" s="94"/>
    </row>
    <row r="22" spans="1:56" s="50" customFormat="1" ht="18.75" customHeight="1">
      <c r="A22" s="296"/>
      <c r="B22" s="21" t="s">
        <v>1</v>
      </c>
      <c r="C22" s="21">
        <v>15</v>
      </c>
      <c r="D22" s="75">
        <f>ROUND($AF$1*C22/1000,1)</f>
        <v>1.1</v>
      </c>
      <c r="E22" s="52" t="s">
        <v>0</v>
      </c>
      <c r="F22" s="157"/>
      <c r="G22" s="52"/>
      <c r="H22" s="275"/>
      <c r="I22" s="62"/>
      <c r="J22" s="62"/>
      <c r="K22" s="75"/>
      <c r="L22" s="165"/>
      <c r="M22" s="157"/>
      <c r="N22" s="61"/>
      <c r="O22" s="267"/>
      <c r="P22" s="241" t="s">
        <v>232</v>
      </c>
      <c r="Q22" s="243">
        <v>120</v>
      </c>
      <c r="R22" s="244" t="s">
        <v>23</v>
      </c>
      <c r="S22" s="77" t="s">
        <v>52</v>
      </c>
      <c r="T22" s="157"/>
      <c r="U22" s="52"/>
      <c r="V22" s="296"/>
      <c r="W22" s="242" t="s">
        <v>245</v>
      </c>
      <c r="X22" s="155"/>
      <c r="Y22" s="91"/>
      <c r="Z22" s="94"/>
      <c r="AA22" s="51"/>
      <c r="AB22" s="52"/>
      <c r="AC22" s="267"/>
      <c r="AD22" s="241" t="s">
        <v>232</v>
      </c>
      <c r="AE22" s="243">
        <v>120</v>
      </c>
      <c r="AF22" s="244" t="s">
        <v>23</v>
      </c>
      <c r="AG22" s="77" t="s">
        <v>52</v>
      </c>
      <c r="AH22" s="157"/>
      <c r="AI22" s="52"/>
      <c r="AR22" s="296"/>
      <c r="AS22" s="27" t="s">
        <v>50</v>
      </c>
      <c r="AT22" s="27">
        <v>7</v>
      </c>
      <c r="AU22" s="75">
        <v>0.2</v>
      </c>
      <c r="AV22" s="74" t="s">
        <v>0</v>
      </c>
      <c r="AW22" s="51">
        <v>48</v>
      </c>
      <c r="AX22" s="52">
        <f>AU22*AW22</f>
        <v>9.600000000000001</v>
      </c>
      <c r="AZ22" s="267"/>
      <c r="BA22" s="60" t="s">
        <v>24</v>
      </c>
      <c r="BB22" s="52">
        <v>133</v>
      </c>
      <c r="BC22" s="52">
        <v>4</v>
      </c>
      <c r="BD22" s="52" t="s">
        <v>52</v>
      </c>
    </row>
    <row r="23" spans="1:56" s="50" customFormat="1" ht="18.75" customHeight="1">
      <c r="A23" s="296"/>
      <c r="B23" s="60" t="s">
        <v>232</v>
      </c>
      <c r="C23" s="52">
        <v>33</v>
      </c>
      <c r="D23" s="52">
        <v>1</v>
      </c>
      <c r="E23" s="52" t="s">
        <v>52</v>
      </c>
      <c r="F23" s="157"/>
      <c r="G23" s="52"/>
      <c r="H23" s="275"/>
      <c r="I23" s="200"/>
      <c r="J23" s="27"/>
      <c r="K23" s="75"/>
      <c r="L23" s="75"/>
      <c r="M23" s="157"/>
      <c r="N23" s="61"/>
      <c r="O23" s="267"/>
      <c r="P23" s="242" t="s">
        <v>247</v>
      </c>
      <c r="Q23" s="155"/>
      <c r="R23" s="91"/>
      <c r="S23" s="94"/>
      <c r="T23" s="51"/>
      <c r="U23" s="52"/>
      <c r="V23" s="296"/>
      <c r="W23" s="334" t="s">
        <v>190</v>
      </c>
      <c r="X23" s="335"/>
      <c r="Y23" s="335"/>
      <c r="Z23" s="336"/>
      <c r="AA23" s="51"/>
      <c r="AB23" s="52"/>
      <c r="AC23" s="267"/>
      <c r="AD23" s="242" t="s">
        <v>247</v>
      </c>
      <c r="AE23" s="155"/>
      <c r="AF23" s="91"/>
      <c r="AG23" s="94"/>
      <c r="AH23" s="51"/>
      <c r="AI23" s="52"/>
      <c r="AR23" s="296"/>
      <c r="AS23" s="27" t="s">
        <v>51</v>
      </c>
      <c r="AT23" s="27">
        <v>3.5</v>
      </c>
      <c r="AU23" s="75" t="s">
        <v>23</v>
      </c>
      <c r="AV23" s="74" t="s">
        <v>0</v>
      </c>
      <c r="AW23" s="51"/>
      <c r="AX23" s="52" t="e">
        <f>AU23*AW23</f>
        <v>#VALUE!</v>
      </c>
      <c r="AZ23" s="267"/>
      <c r="BA23" s="21"/>
      <c r="BB23" s="21"/>
      <c r="BC23" s="91"/>
      <c r="BD23" s="94"/>
    </row>
    <row r="24" spans="1:56" s="50" customFormat="1" ht="18.75" customHeight="1">
      <c r="A24" s="296"/>
      <c r="B24" s="60" t="s">
        <v>78</v>
      </c>
      <c r="C24" s="52">
        <v>5</v>
      </c>
      <c r="D24" s="75">
        <f>ROUND($AF$1*C24/1000,1)</f>
        <v>0.4</v>
      </c>
      <c r="E24" s="52" t="s">
        <v>0</v>
      </c>
      <c r="F24" s="157"/>
      <c r="G24" s="52"/>
      <c r="H24" s="275"/>
      <c r="I24" s="59"/>
      <c r="J24" s="59"/>
      <c r="K24" s="75"/>
      <c r="L24" s="75"/>
      <c r="M24" s="157"/>
      <c r="N24" s="61"/>
      <c r="O24" s="267"/>
      <c r="P24" s="21"/>
      <c r="Q24" s="21"/>
      <c r="R24" s="91"/>
      <c r="S24" s="94"/>
      <c r="T24" s="51"/>
      <c r="U24" s="52"/>
      <c r="V24" s="296"/>
      <c r="W24" s="21"/>
      <c r="X24" s="21"/>
      <c r="Y24" s="91"/>
      <c r="Z24" s="94"/>
      <c r="AA24" s="51"/>
      <c r="AB24" s="52"/>
      <c r="AC24" s="267"/>
      <c r="AD24" s="21"/>
      <c r="AE24" s="21"/>
      <c r="AF24" s="91"/>
      <c r="AG24" s="94"/>
      <c r="AH24" s="51"/>
      <c r="AI24" s="52"/>
      <c r="AR24" s="296"/>
      <c r="AS24" s="27" t="s">
        <v>53</v>
      </c>
      <c r="AT24" s="27">
        <v>3.5</v>
      </c>
      <c r="AU24" s="75" t="s">
        <v>23</v>
      </c>
      <c r="AV24" s="74" t="s">
        <v>0</v>
      </c>
      <c r="AW24" s="51"/>
      <c r="AX24" s="52"/>
      <c r="AZ24" s="267"/>
      <c r="BA24" s="21"/>
      <c r="BB24" s="21"/>
      <c r="BC24" s="91"/>
      <c r="BD24" s="94"/>
    </row>
    <row r="25" spans="1:56" s="50" customFormat="1" ht="18.75" customHeight="1" thickBot="1">
      <c r="A25" s="297"/>
      <c r="B25" s="226"/>
      <c r="C25" s="226"/>
      <c r="D25" s="229"/>
      <c r="E25" s="150"/>
      <c r="F25" s="171"/>
      <c r="G25" s="172">
        <f>D25*F25</f>
        <v>0</v>
      </c>
      <c r="H25" s="275"/>
      <c r="I25" s="149"/>
      <c r="J25" s="149"/>
      <c r="K25" s="150"/>
      <c r="L25" s="150"/>
      <c r="M25" s="249"/>
      <c r="N25" s="250">
        <f>K25*M25</f>
        <v>0</v>
      </c>
      <c r="O25" s="267"/>
      <c r="P25" s="226"/>
      <c r="Q25" s="226"/>
      <c r="R25" s="227"/>
      <c r="S25" s="228"/>
      <c r="T25" s="171"/>
      <c r="U25" s="172">
        <f>R25*T25</f>
        <v>0</v>
      </c>
      <c r="V25" s="297"/>
      <c r="W25" s="226" t="s">
        <v>69</v>
      </c>
      <c r="X25" s="226">
        <v>84</v>
      </c>
      <c r="Y25" s="150">
        <f>ROUND($AF$1*X25/1000,1)</f>
        <v>6</v>
      </c>
      <c r="Z25" s="170" t="s">
        <v>0</v>
      </c>
      <c r="AA25" s="171"/>
      <c r="AB25" s="172">
        <f>Y25*AA25</f>
        <v>0</v>
      </c>
      <c r="AC25" s="267"/>
      <c r="AD25" s="226"/>
      <c r="AE25" s="226"/>
      <c r="AF25" s="227"/>
      <c r="AG25" s="228"/>
      <c r="AH25" s="171"/>
      <c r="AI25" s="172">
        <f>AF25*AH25</f>
        <v>0</v>
      </c>
      <c r="AR25" s="296"/>
      <c r="AS25" s="21" t="s">
        <v>54</v>
      </c>
      <c r="AT25" s="21">
        <v>40</v>
      </c>
      <c r="AU25" s="75">
        <v>1</v>
      </c>
      <c r="AV25" s="74" t="s">
        <v>22</v>
      </c>
      <c r="AW25" s="51">
        <v>40</v>
      </c>
      <c r="AX25" s="52"/>
      <c r="AZ25" s="267"/>
      <c r="BA25" s="226"/>
      <c r="BB25" s="226"/>
      <c r="BC25" s="227"/>
      <c r="BD25" s="228"/>
    </row>
    <row r="26" spans="1:56" s="40" customFormat="1" ht="18.75" customHeight="1">
      <c r="A26" s="292" t="s">
        <v>90</v>
      </c>
      <c r="B26" s="98" t="s">
        <v>91</v>
      </c>
      <c r="C26" s="282">
        <v>2.5</v>
      </c>
      <c r="D26" s="282"/>
      <c r="E26" s="283"/>
      <c r="F26" s="284" t="e">
        <f>SUM(#REF!)</f>
        <v>#REF!</v>
      </c>
      <c r="G26" s="284"/>
      <c r="H26" s="292" t="s">
        <v>90</v>
      </c>
      <c r="I26" s="98" t="s">
        <v>91</v>
      </c>
      <c r="J26" s="282">
        <v>2</v>
      </c>
      <c r="K26" s="282"/>
      <c r="L26" s="283"/>
      <c r="M26" s="284" t="e">
        <f>SUM(#REF!)</f>
        <v>#REF!</v>
      </c>
      <c r="N26" s="285"/>
      <c r="O26" s="310" t="s">
        <v>90</v>
      </c>
      <c r="P26" s="98" t="s">
        <v>91</v>
      </c>
      <c r="Q26" s="282">
        <v>2</v>
      </c>
      <c r="R26" s="282"/>
      <c r="S26" s="283"/>
      <c r="T26" s="330" t="e">
        <f>SUM(#REF!)</f>
        <v>#REF!</v>
      </c>
      <c r="U26" s="284"/>
      <c r="V26" s="292" t="s">
        <v>90</v>
      </c>
      <c r="W26" s="98" t="s">
        <v>91</v>
      </c>
      <c r="X26" s="282">
        <v>2</v>
      </c>
      <c r="Y26" s="282"/>
      <c r="Z26" s="308"/>
      <c r="AA26" s="284" t="e">
        <f>SUM(#REF!)</f>
        <v>#REF!</v>
      </c>
      <c r="AB26" s="284"/>
      <c r="AC26" s="305" t="s">
        <v>90</v>
      </c>
      <c r="AD26" s="98" t="s">
        <v>91</v>
      </c>
      <c r="AE26" s="282">
        <v>2</v>
      </c>
      <c r="AF26" s="282"/>
      <c r="AG26" s="283"/>
      <c r="AH26" s="328" t="e">
        <f>SUM(#REF!)</f>
        <v>#REF!</v>
      </c>
      <c r="AI26" s="329"/>
      <c r="AJ26" s="126">
        <f>(C26+J26+Q26+X26+AE26)/5</f>
        <v>2.1</v>
      </c>
      <c r="AR26" s="296"/>
      <c r="AZ26" s="305" t="s">
        <v>90</v>
      </c>
      <c r="BA26" s="98" t="s">
        <v>91</v>
      </c>
      <c r="BB26" s="282">
        <v>2</v>
      </c>
      <c r="BC26" s="282"/>
      <c r="BD26" s="283"/>
    </row>
    <row r="27" spans="1:56" s="40" customFormat="1" ht="18.75" customHeight="1">
      <c r="A27" s="293"/>
      <c r="B27" s="100" t="s">
        <v>92</v>
      </c>
      <c r="C27" s="313">
        <v>0.6</v>
      </c>
      <c r="D27" s="313"/>
      <c r="E27" s="314"/>
      <c r="F27" s="101"/>
      <c r="G27" s="102"/>
      <c r="H27" s="293"/>
      <c r="I27" s="100" t="s">
        <v>92</v>
      </c>
      <c r="J27" s="313">
        <v>0.5</v>
      </c>
      <c r="K27" s="313"/>
      <c r="L27" s="314"/>
      <c r="M27" s="103"/>
      <c r="N27" s="102"/>
      <c r="O27" s="311"/>
      <c r="P27" s="100" t="s">
        <v>92</v>
      </c>
      <c r="Q27" s="313">
        <v>0.6</v>
      </c>
      <c r="R27" s="313"/>
      <c r="S27" s="314"/>
      <c r="T27" s="103"/>
      <c r="U27" s="104"/>
      <c r="V27" s="293"/>
      <c r="W27" s="100" t="s">
        <v>92</v>
      </c>
      <c r="X27" s="313">
        <v>0.4</v>
      </c>
      <c r="Y27" s="313"/>
      <c r="Z27" s="315"/>
      <c r="AA27" s="105"/>
      <c r="AB27" s="102"/>
      <c r="AC27" s="306"/>
      <c r="AD27" s="100" t="s">
        <v>92</v>
      </c>
      <c r="AE27" s="313">
        <v>0.5</v>
      </c>
      <c r="AF27" s="313"/>
      <c r="AG27" s="314"/>
      <c r="AH27" s="106"/>
      <c r="AI27" s="107"/>
      <c r="AJ27" s="126">
        <f aca="true" t="shared" si="5" ref="AJ27:AJ32">(C27+J27+Q27+X27+AE27)/5</f>
        <v>0.52</v>
      </c>
      <c r="AR27" s="296"/>
      <c r="AZ27" s="306"/>
      <c r="BA27" s="100" t="s">
        <v>92</v>
      </c>
      <c r="BB27" s="313">
        <v>0.5</v>
      </c>
      <c r="BC27" s="313"/>
      <c r="BD27" s="314"/>
    </row>
    <row r="28" spans="1:56" s="40" customFormat="1" ht="18.75" customHeight="1">
      <c r="A28" s="293"/>
      <c r="B28" s="108" t="s">
        <v>95</v>
      </c>
      <c r="C28" s="313">
        <v>0.2</v>
      </c>
      <c r="D28" s="313"/>
      <c r="E28" s="314"/>
      <c r="F28" s="101"/>
      <c r="G28" s="102"/>
      <c r="H28" s="293"/>
      <c r="I28" s="108" t="s">
        <v>95</v>
      </c>
      <c r="J28" s="313">
        <v>0.2</v>
      </c>
      <c r="K28" s="313"/>
      <c r="L28" s="314"/>
      <c r="M28" s="103"/>
      <c r="N28" s="102"/>
      <c r="O28" s="311"/>
      <c r="P28" s="108" t="s">
        <v>95</v>
      </c>
      <c r="Q28" s="313">
        <v>0.5</v>
      </c>
      <c r="R28" s="313"/>
      <c r="S28" s="314"/>
      <c r="T28" s="103"/>
      <c r="U28" s="104"/>
      <c r="V28" s="293"/>
      <c r="W28" s="108" t="s">
        <v>95</v>
      </c>
      <c r="X28" s="313">
        <v>0.4</v>
      </c>
      <c r="Y28" s="313"/>
      <c r="Z28" s="315"/>
      <c r="AA28" s="105"/>
      <c r="AB28" s="102"/>
      <c r="AC28" s="306"/>
      <c r="AD28" s="108" t="s">
        <v>95</v>
      </c>
      <c r="AE28" s="313">
        <v>0.5</v>
      </c>
      <c r="AF28" s="313"/>
      <c r="AG28" s="314"/>
      <c r="AH28" s="106"/>
      <c r="AI28" s="107"/>
      <c r="AJ28" s="126">
        <f t="shared" si="5"/>
        <v>0.36</v>
      </c>
      <c r="AR28" s="73"/>
      <c r="AZ28" s="306"/>
      <c r="BA28" s="108" t="s">
        <v>95</v>
      </c>
      <c r="BB28" s="313">
        <v>0.5</v>
      </c>
      <c r="BC28" s="313"/>
      <c r="BD28" s="314"/>
    </row>
    <row r="29" spans="1:56" s="40" customFormat="1" ht="18.75" customHeight="1">
      <c r="A29" s="293"/>
      <c r="B29" s="109" t="s">
        <v>93</v>
      </c>
      <c r="C29" s="313">
        <v>0.5</v>
      </c>
      <c r="D29" s="313"/>
      <c r="E29" s="314"/>
      <c r="F29" s="101"/>
      <c r="G29" s="102"/>
      <c r="H29" s="293"/>
      <c r="I29" s="109" t="s">
        <v>94</v>
      </c>
      <c r="J29" s="313">
        <v>0.5</v>
      </c>
      <c r="K29" s="313"/>
      <c r="L29" s="314"/>
      <c r="M29" s="103"/>
      <c r="N29" s="102"/>
      <c r="O29" s="311"/>
      <c r="P29" s="109" t="s">
        <v>93</v>
      </c>
      <c r="Q29" s="313">
        <v>0.5</v>
      </c>
      <c r="R29" s="313"/>
      <c r="S29" s="314"/>
      <c r="T29" s="103"/>
      <c r="U29" s="104"/>
      <c r="V29" s="293"/>
      <c r="W29" s="109" t="s">
        <v>94</v>
      </c>
      <c r="X29" s="313">
        <v>0.5</v>
      </c>
      <c r="Y29" s="313"/>
      <c r="Z29" s="315"/>
      <c r="AA29" s="105"/>
      <c r="AB29" s="102"/>
      <c r="AC29" s="306"/>
      <c r="AD29" s="109" t="s">
        <v>93</v>
      </c>
      <c r="AE29" s="313">
        <v>0.5</v>
      </c>
      <c r="AF29" s="313"/>
      <c r="AG29" s="314"/>
      <c r="AH29" s="106"/>
      <c r="AI29" s="107"/>
      <c r="AJ29" s="126">
        <f t="shared" si="5"/>
        <v>0.5</v>
      </c>
      <c r="AO29" s="266" t="s">
        <v>201</v>
      </c>
      <c r="AP29" s="53" t="s">
        <v>180</v>
      </c>
      <c r="AQ29" s="53">
        <v>20</v>
      </c>
      <c r="AR29" s="75">
        <f>ROUND($AF$1*AQ29/1000,1)</f>
        <v>1.4</v>
      </c>
      <c r="AS29" s="96" t="s">
        <v>0</v>
      </c>
      <c r="AZ29" s="306"/>
      <c r="BA29" s="109" t="s">
        <v>93</v>
      </c>
      <c r="BB29" s="313">
        <v>0.5</v>
      </c>
      <c r="BC29" s="313"/>
      <c r="BD29" s="314"/>
    </row>
    <row r="30" spans="1:56" s="40" customFormat="1" ht="18.75" customHeight="1">
      <c r="A30" s="293"/>
      <c r="B30" s="100" t="s">
        <v>96</v>
      </c>
      <c r="C30" s="313">
        <v>0</v>
      </c>
      <c r="D30" s="313"/>
      <c r="E30" s="314"/>
      <c r="F30" s="101"/>
      <c r="G30" s="102"/>
      <c r="H30" s="293"/>
      <c r="I30" s="100" t="s">
        <v>96</v>
      </c>
      <c r="J30" s="313">
        <v>1</v>
      </c>
      <c r="K30" s="313"/>
      <c r="L30" s="314"/>
      <c r="M30" s="103"/>
      <c r="N30" s="102"/>
      <c r="O30" s="311"/>
      <c r="P30" s="100" t="s">
        <v>96</v>
      </c>
      <c r="Q30" s="313">
        <v>1</v>
      </c>
      <c r="R30" s="313"/>
      <c r="S30" s="314"/>
      <c r="T30" s="103"/>
      <c r="U30" s="104"/>
      <c r="V30" s="293"/>
      <c r="W30" s="100" t="s">
        <v>96</v>
      </c>
      <c r="X30" s="313">
        <v>0.5</v>
      </c>
      <c r="Y30" s="313"/>
      <c r="Z30" s="315"/>
      <c r="AA30" s="105"/>
      <c r="AB30" s="102"/>
      <c r="AC30" s="306"/>
      <c r="AD30" s="100" t="s">
        <v>96</v>
      </c>
      <c r="AE30" s="313">
        <v>1</v>
      </c>
      <c r="AF30" s="313"/>
      <c r="AG30" s="314"/>
      <c r="AH30" s="106"/>
      <c r="AI30" s="107"/>
      <c r="AJ30" s="126">
        <f t="shared" si="5"/>
        <v>0.7</v>
      </c>
      <c r="AO30" s="267"/>
      <c r="AP30" s="53" t="s">
        <v>183</v>
      </c>
      <c r="AQ30" s="53">
        <v>13.5</v>
      </c>
      <c r="AR30" s="75">
        <v>3</v>
      </c>
      <c r="AS30" s="74" t="s">
        <v>0</v>
      </c>
      <c r="AZ30" s="306"/>
      <c r="BA30" s="100" t="s">
        <v>96</v>
      </c>
      <c r="BB30" s="313">
        <v>1</v>
      </c>
      <c r="BC30" s="313"/>
      <c r="BD30" s="314"/>
    </row>
    <row r="31" spans="1:56" s="40" customFormat="1" ht="18.75" customHeight="1">
      <c r="A31" s="293"/>
      <c r="B31" s="100" t="s">
        <v>97</v>
      </c>
      <c r="C31" s="313">
        <v>0.2</v>
      </c>
      <c r="D31" s="313"/>
      <c r="E31" s="314"/>
      <c r="F31" s="101"/>
      <c r="G31" s="102"/>
      <c r="H31" s="293"/>
      <c r="I31" s="100" t="s">
        <v>97</v>
      </c>
      <c r="J31" s="313">
        <v>0.6</v>
      </c>
      <c r="K31" s="313"/>
      <c r="L31" s="314"/>
      <c r="M31" s="110"/>
      <c r="N31" s="102"/>
      <c r="O31" s="311"/>
      <c r="P31" s="100" t="s">
        <v>97</v>
      </c>
      <c r="Q31" s="313">
        <v>0.6</v>
      </c>
      <c r="R31" s="313"/>
      <c r="S31" s="314"/>
      <c r="T31" s="103"/>
      <c r="U31" s="104"/>
      <c r="V31" s="293"/>
      <c r="W31" s="100" t="s">
        <v>97</v>
      </c>
      <c r="X31" s="313">
        <v>0.4</v>
      </c>
      <c r="Y31" s="313"/>
      <c r="Z31" s="315"/>
      <c r="AA31" s="105"/>
      <c r="AB31" s="102"/>
      <c r="AC31" s="306"/>
      <c r="AD31" s="100" t="s">
        <v>97</v>
      </c>
      <c r="AE31" s="313">
        <v>0.6</v>
      </c>
      <c r="AF31" s="313"/>
      <c r="AG31" s="314"/>
      <c r="AH31" s="106"/>
      <c r="AI31" s="107"/>
      <c r="AJ31" s="126">
        <f t="shared" si="5"/>
        <v>0.48</v>
      </c>
      <c r="AO31" s="267"/>
      <c r="AP31" s="53" t="s">
        <v>124</v>
      </c>
      <c r="AQ31" s="53">
        <v>13.5</v>
      </c>
      <c r="AR31" s="75">
        <f>ROUND($AF$1*AQ31/1000,1)</f>
        <v>1</v>
      </c>
      <c r="AS31" s="74" t="s">
        <v>0</v>
      </c>
      <c r="AZ31" s="306"/>
      <c r="BA31" s="100" t="s">
        <v>97</v>
      </c>
      <c r="BB31" s="313">
        <v>0.6</v>
      </c>
      <c r="BC31" s="313"/>
      <c r="BD31" s="314"/>
    </row>
    <row r="32" spans="1:56" s="40" customFormat="1" ht="18.75" customHeight="1" thickBot="1">
      <c r="A32" s="294"/>
      <c r="B32" s="111" t="s">
        <v>98</v>
      </c>
      <c r="C32" s="316">
        <f>C26*70+C27*75+C28*25+C29*45+C31*120+C30*60</f>
        <v>271.5</v>
      </c>
      <c r="D32" s="316"/>
      <c r="E32" s="317"/>
      <c r="F32" s="112"/>
      <c r="G32" s="113"/>
      <c r="H32" s="294"/>
      <c r="I32" s="111" t="s">
        <v>98</v>
      </c>
      <c r="J32" s="316">
        <f>J26*70+J27*75+J28*25+J29*45+J31*120+J30*60</f>
        <v>337</v>
      </c>
      <c r="K32" s="316"/>
      <c r="L32" s="317"/>
      <c r="M32" s="114"/>
      <c r="N32" s="113"/>
      <c r="O32" s="312"/>
      <c r="P32" s="111" t="s">
        <v>98</v>
      </c>
      <c r="Q32" s="316">
        <f>Q26*70+Q27*75+Q28*25+Q29*45+Q31*120+Q30*60</f>
        <v>352</v>
      </c>
      <c r="R32" s="316"/>
      <c r="S32" s="317"/>
      <c r="T32" s="114"/>
      <c r="U32" s="115"/>
      <c r="V32" s="294"/>
      <c r="W32" s="111" t="s">
        <v>98</v>
      </c>
      <c r="X32" s="316">
        <f>X26*70+X27*75+X28*25+X29*45+X31*120+X30*60</f>
        <v>280.5</v>
      </c>
      <c r="Y32" s="316"/>
      <c r="Z32" s="318"/>
      <c r="AA32" s="116"/>
      <c r="AB32" s="113"/>
      <c r="AC32" s="307"/>
      <c r="AD32" s="111" t="s">
        <v>98</v>
      </c>
      <c r="AE32" s="316">
        <f>AE26*70+AE27*75+AE28*25+AE29*45+AE31*120+AE30*60</f>
        <v>344.5</v>
      </c>
      <c r="AF32" s="316"/>
      <c r="AG32" s="317"/>
      <c r="AH32" s="117"/>
      <c r="AI32" s="118"/>
      <c r="AJ32" s="126">
        <f t="shared" si="5"/>
        <v>317.1</v>
      </c>
      <c r="AO32" s="267"/>
      <c r="AP32" s="21" t="s">
        <v>218</v>
      </c>
      <c r="AQ32" s="53">
        <v>20</v>
      </c>
      <c r="AR32" s="75">
        <f>ROUND($AF$1*AQ32/1000,1)</f>
        <v>1.4</v>
      </c>
      <c r="AS32" s="74" t="s">
        <v>0</v>
      </c>
      <c r="AZ32" s="307"/>
      <c r="BA32" s="111" t="s">
        <v>98</v>
      </c>
      <c r="BB32" s="316">
        <f>BB26*70+BB27*75+BB28*25+BB29*45+BB31*120+BB30*60</f>
        <v>344.5</v>
      </c>
      <c r="BC32" s="316"/>
      <c r="BD32" s="317"/>
    </row>
    <row r="33" spans="1:56" s="50" customFormat="1" ht="18.75" customHeight="1">
      <c r="A33" s="83"/>
      <c r="B33" s="81"/>
      <c r="C33" s="81"/>
      <c r="D33" s="119"/>
      <c r="E33" s="119"/>
      <c r="F33" s="82"/>
      <c r="G33" s="81"/>
      <c r="H33" s="80"/>
      <c r="I33" s="81"/>
      <c r="J33" s="81"/>
      <c r="K33" s="119"/>
      <c r="L33" s="119"/>
      <c r="M33" s="82"/>
      <c r="N33" s="81"/>
      <c r="O33" s="84"/>
      <c r="P33" s="80"/>
      <c r="Q33" s="80"/>
      <c r="R33" s="88"/>
      <c r="S33" s="88"/>
      <c r="T33" s="82"/>
      <c r="U33" s="81"/>
      <c r="V33" s="83"/>
      <c r="W33" s="80"/>
      <c r="X33" s="80"/>
      <c r="Y33" s="88"/>
      <c r="Z33" s="88"/>
      <c r="AA33" s="82"/>
      <c r="AB33" s="81"/>
      <c r="AC33" s="80"/>
      <c r="AD33" s="81"/>
      <c r="AE33" s="81"/>
      <c r="AF33" s="119"/>
      <c r="AG33" s="119"/>
      <c r="AH33" s="82"/>
      <c r="AI33" s="81"/>
      <c r="AO33" s="267"/>
      <c r="AP33" s="53" t="s">
        <v>70</v>
      </c>
      <c r="AQ33" s="53">
        <v>10</v>
      </c>
      <c r="AR33" s="75">
        <f>ROUND($AF$1*AQ33/1000,1)</f>
        <v>0.7</v>
      </c>
      <c r="AS33" s="74" t="s">
        <v>0</v>
      </c>
      <c r="AT33" s="21"/>
      <c r="AU33" s="75"/>
      <c r="AV33" s="74"/>
      <c r="AW33" s="51"/>
      <c r="AX33" s="52"/>
      <c r="AZ33" s="80"/>
      <c r="BA33" s="81"/>
      <c r="BB33" s="81"/>
      <c r="BC33" s="119"/>
      <c r="BD33" s="119"/>
    </row>
    <row r="34" spans="1:61" s="50" customFormat="1" ht="19.5" customHeight="1">
      <c r="A34" s="279" t="s">
        <v>55</v>
      </c>
      <c r="B34" s="279"/>
      <c r="C34" s="279"/>
      <c r="D34" s="279"/>
      <c r="E34" s="279"/>
      <c r="F34" s="279"/>
      <c r="G34" s="279"/>
      <c r="H34" s="279"/>
      <c r="I34" s="279"/>
      <c r="J34" s="279"/>
      <c r="K34" s="279"/>
      <c r="L34" s="279"/>
      <c r="M34" s="279"/>
      <c r="N34" s="279"/>
      <c r="O34" s="279"/>
      <c r="P34" s="279"/>
      <c r="Q34" s="279"/>
      <c r="R34" s="279"/>
      <c r="S34" s="279"/>
      <c r="T34" s="279"/>
      <c r="U34" s="279"/>
      <c r="V34" s="279"/>
      <c r="W34" s="279"/>
      <c r="X34" s="279"/>
      <c r="Y34" s="279"/>
      <c r="Z34" s="279"/>
      <c r="AA34" s="279"/>
      <c r="AB34" s="279"/>
      <c r="AC34" s="279"/>
      <c r="AD34" s="279"/>
      <c r="AE34" s="279"/>
      <c r="AF34" s="279"/>
      <c r="AG34" s="279"/>
      <c r="AH34" s="279"/>
      <c r="AI34" s="120"/>
      <c r="AJ34" s="64"/>
      <c r="AK34" s="64"/>
      <c r="AL34" s="65"/>
      <c r="AM34" s="65"/>
      <c r="AN34" s="65"/>
      <c r="AO34" s="267"/>
      <c r="AP34" s="53" t="s">
        <v>151</v>
      </c>
      <c r="AQ34" s="53">
        <v>2</v>
      </c>
      <c r="AR34" s="75" t="s">
        <v>23</v>
      </c>
      <c r="AS34" s="74" t="s">
        <v>0</v>
      </c>
      <c r="AT34" s="21"/>
      <c r="AU34" s="91"/>
      <c r="AV34" s="94"/>
      <c r="AW34" s="51"/>
      <c r="AX34" s="52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</row>
    <row r="35" spans="1:61" s="50" customFormat="1" ht="22.5" customHeight="1">
      <c r="A35" s="299" t="s">
        <v>67</v>
      </c>
      <c r="B35" s="299"/>
      <c r="C35" s="299"/>
      <c r="D35" s="299"/>
      <c r="E35" s="299"/>
      <c r="F35" s="299"/>
      <c r="G35" s="299"/>
      <c r="H35" s="299"/>
      <c r="I35" s="299"/>
      <c r="J35" s="299"/>
      <c r="K35" s="299"/>
      <c r="L35" s="299"/>
      <c r="M35" s="299"/>
      <c r="N35" s="299"/>
      <c r="O35" s="299"/>
      <c r="P35" s="299"/>
      <c r="Q35" s="299"/>
      <c r="R35" s="299"/>
      <c r="S35" s="299"/>
      <c r="T35" s="299"/>
      <c r="U35" s="299"/>
      <c r="V35" s="299"/>
      <c r="W35" s="299"/>
      <c r="X35" s="299"/>
      <c r="Y35" s="299"/>
      <c r="Z35" s="299"/>
      <c r="AA35" s="299"/>
      <c r="AB35" s="299"/>
      <c r="AC35" s="299"/>
      <c r="AD35" s="299"/>
      <c r="AE35" s="299"/>
      <c r="AF35" s="299"/>
      <c r="AG35" s="299"/>
      <c r="AH35" s="299"/>
      <c r="AI35" s="121"/>
      <c r="AJ35" s="66"/>
      <c r="AK35" s="66"/>
      <c r="AL35" s="65"/>
      <c r="AM35" s="65"/>
      <c r="AN35" s="65"/>
      <c r="AO35" s="267"/>
      <c r="AP35" s="53" t="s">
        <v>184</v>
      </c>
      <c r="AQ35" s="53">
        <v>2</v>
      </c>
      <c r="AR35" s="75">
        <f>ROUND($AF$1*AQ35/1000,1)</f>
        <v>0.1</v>
      </c>
      <c r="AS35" s="74" t="s">
        <v>0</v>
      </c>
      <c r="AT35" s="21"/>
      <c r="AU35" s="91"/>
      <c r="AV35" s="94"/>
      <c r="AW35" s="51"/>
      <c r="AX35" s="52">
        <f>AU35*AW35</f>
        <v>0</v>
      </c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</row>
    <row r="36" spans="41:45" ht="22.5" customHeight="1">
      <c r="AO36" s="267"/>
      <c r="AP36" s="53" t="s">
        <v>182</v>
      </c>
      <c r="AQ36" s="53">
        <v>1</v>
      </c>
      <c r="AR36" s="75">
        <f>ROUND($AF$1*AQ36/1000,1)</f>
        <v>0.1</v>
      </c>
      <c r="AS36" s="74" t="s">
        <v>0</v>
      </c>
    </row>
    <row r="37" spans="41:45" ht="22.5" customHeight="1">
      <c r="AO37" s="267"/>
      <c r="AP37" s="53"/>
      <c r="AQ37" s="53"/>
      <c r="AR37" s="75"/>
      <c r="AS37" s="75"/>
    </row>
    <row r="38" spans="41:45" ht="22.5" customHeight="1">
      <c r="AO38" s="267"/>
      <c r="AP38" s="53"/>
      <c r="AQ38" s="53"/>
      <c r="AR38" s="75"/>
      <c r="AS38" s="75"/>
    </row>
    <row r="39" spans="41:45" ht="22.5" customHeight="1">
      <c r="AO39" s="326"/>
      <c r="AP39" s="21"/>
      <c r="AQ39" s="21"/>
      <c r="AR39" s="91"/>
      <c r="AS39" s="94"/>
    </row>
    <row r="40" spans="41:45" ht="22.5" customHeight="1">
      <c r="AO40" s="265" t="s">
        <v>42</v>
      </c>
      <c r="AP40" s="265"/>
      <c r="AQ40" s="265"/>
      <c r="AR40" s="265"/>
      <c r="AS40" s="265"/>
    </row>
    <row r="41" spans="41:45" ht="22.5" customHeight="1">
      <c r="AO41" s="327" t="s">
        <v>185</v>
      </c>
      <c r="AP41" s="97" t="s">
        <v>186</v>
      </c>
      <c r="AQ41" s="97">
        <v>25</v>
      </c>
      <c r="AR41" s="164">
        <f>ROUND($AF$1*AQ41/1000,1)</f>
        <v>1.8</v>
      </c>
      <c r="AS41" s="96" t="s">
        <v>0</v>
      </c>
    </row>
    <row r="42" spans="41:45" ht="22.5" customHeight="1">
      <c r="AO42" s="296"/>
      <c r="AP42" s="97" t="s">
        <v>187</v>
      </c>
      <c r="AQ42" s="97">
        <v>10</v>
      </c>
      <c r="AR42" s="75">
        <v>0.2</v>
      </c>
      <c r="AS42" s="74" t="s">
        <v>0</v>
      </c>
    </row>
    <row r="43" spans="41:45" ht="22.5" customHeight="1">
      <c r="AO43" s="296"/>
      <c r="AP43" s="21" t="s">
        <v>188</v>
      </c>
      <c r="AQ43" s="21">
        <v>40</v>
      </c>
      <c r="AR43" s="75">
        <v>1</v>
      </c>
      <c r="AS43" s="74" t="s">
        <v>22</v>
      </c>
    </row>
    <row r="44" spans="41:45" ht="22.5" customHeight="1">
      <c r="AO44" s="296"/>
      <c r="AP44" s="60" t="s">
        <v>24</v>
      </c>
      <c r="AQ44" s="52">
        <v>100</v>
      </c>
      <c r="AR44" s="52">
        <v>3</v>
      </c>
      <c r="AS44" s="61" t="s">
        <v>52</v>
      </c>
    </row>
    <row r="45" spans="41:45" ht="22.5" customHeight="1">
      <c r="AO45" s="296"/>
      <c r="AP45" s="21" t="s">
        <v>189</v>
      </c>
      <c r="AQ45" s="21"/>
      <c r="AR45" s="75"/>
      <c r="AS45" s="74"/>
    </row>
    <row r="46" spans="41:45" ht="22.5" customHeight="1">
      <c r="AO46" s="296"/>
      <c r="AP46" s="334" t="s">
        <v>190</v>
      </c>
      <c r="AQ46" s="335"/>
      <c r="AR46" s="335"/>
      <c r="AS46" s="336"/>
    </row>
    <row r="47" spans="41:45" ht="22.5" customHeight="1">
      <c r="AO47" s="296"/>
      <c r="AP47" s="21"/>
      <c r="AQ47" s="21"/>
      <c r="AR47" s="91"/>
      <c r="AS47" s="94"/>
    </row>
    <row r="48" spans="41:45" ht="22.5" customHeight="1" thickBot="1">
      <c r="AO48" s="297"/>
      <c r="AP48" s="226" t="s">
        <v>69</v>
      </c>
      <c r="AQ48" s="226">
        <v>84</v>
      </c>
      <c r="AR48" s="150">
        <f>ROUND($AF$1*AQ48/1000,1)</f>
        <v>6</v>
      </c>
      <c r="AS48" s="170" t="s">
        <v>0</v>
      </c>
    </row>
    <row r="49" spans="41:45" ht="22.5" customHeight="1">
      <c r="AO49" s="292" t="s">
        <v>90</v>
      </c>
      <c r="AP49" s="98" t="s">
        <v>91</v>
      </c>
      <c r="AQ49" s="282">
        <v>2</v>
      </c>
      <c r="AR49" s="282"/>
      <c r="AS49" s="308"/>
    </row>
    <row r="50" spans="41:45" ht="22.5" customHeight="1">
      <c r="AO50" s="293"/>
      <c r="AP50" s="100" t="s">
        <v>92</v>
      </c>
      <c r="AQ50" s="313">
        <v>0.4</v>
      </c>
      <c r="AR50" s="313"/>
      <c r="AS50" s="315"/>
    </row>
    <row r="51" spans="41:45" ht="22.5" customHeight="1">
      <c r="AO51" s="293"/>
      <c r="AP51" s="108" t="s">
        <v>95</v>
      </c>
      <c r="AQ51" s="313">
        <v>0.4</v>
      </c>
      <c r="AR51" s="313"/>
      <c r="AS51" s="315"/>
    </row>
    <row r="52" spans="41:45" ht="22.5" customHeight="1">
      <c r="AO52" s="293"/>
      <c r="AP52" s="109" t="s">
        <v>94</v>
      </c>
      <c r="AQ52" s="313">
        <v>0.5</v>
      </c>
      <c r="AR52" s="313"/>
      <c r="AS52" s="315"/>
    </row>
    <row r="53" spans="41:45" ht="22.5" customHeight="1">
      <c r="AO53" s="293"/>
      <c r="AP53" s="100" t="s">
        <v>96</v>
      </c>
      <c r="AQ53" s="313">
        <v>0.5</v>
      </c>
      <c r="AR53" s="313"/>
      <c r="AS53" s="315"/>
    </row>
    <row r="54" spans="41:45" ht="22.5" customHeight="1">
      <c r="AO54" s="293"/>
      <c r="AP54" s="100" t="s">
        <v>97</v>
      </c>
      <c r="AQ54" s="313">
        <v>0.4</v>
      </c>
      <c r="AR54" s="313"/>
      <c r="AS54" s="315"/>
    </row>
    <row r="55" spans="41:45" ht="22.5" customHeight="1" thickBot="1">
      <c r="AO55" s="294"/>
      <c r="AP55" s="111" t="s">
        <v>98</v>
      </c>
      <c r="AQ55" s="316">
        <f>AQ49*70+AQ50*75+AQ51*25+AQ52*45+AQ54*120+AQ53*60</f>
        <v>280.5</v>
      </c>
      <c r="AR55" s="316"/>
      <c r="AS55" s="318"/>
    </row>
  </sheetData>
  <sheetProtection selectLockedCells="1" selectUnlockedCells="1"/>
  <mergeCells count="115">
    <mergeCell ref="AQ54:AS54"/>
    <mergeCell ref="AQ55:AS55"/>
    <mergeCell ref="I9:L9"/>
    <mergeCell ref="W23:Z23"/>
    <mergeCell ref="AO29:AO39"/>
    <mergeCell ref="AO40:AS40"/>
    <mergeCell ref="AO41:AO48"/>
    <mergeCell ref="AP46:AS46"/>
    <mergeCell ref="AO49:AO55"/>
    <mergeCell ref="AQ52:AS52"/>
    <mergeCell ref="AZ18:AZ25"/>
    <mergeCell ref="AZ26:AZ32"/>
    <mergeCell ref="AR8:AR19"/>
    <mergeCell ref="AR20:AR27"/>
    <mergeCell ref="AQ53:AS53"/>
    <mergeCell ref="BB29:BD29"/>
    <mergeCell ref="BB30:BD30"/>
    <mergeCell ref="BB31:BD31"/>
    <mergeCell ref="AQ49:AS49"/>
    <mergeCell ref="AQ50:AS50"/>
    <mergeCell ref="AQ51:AS51"/>
    <mergeCell ref="BB32:BD32"/>
    <mergeCell ref="AZ2:AZ4"/>
    <mergeCell ref="BA2:BD2"/>
    <mergeCell ref="BA4:BD4"/>
    <mergeCell ref="AZ5:BD5"/>
    <mergeCell ref="AZ6:AZ16"/>
    <mergeCell ref="AZ17:BD17"/>
    <mergeCell ref="BB26:BD26"/>
    <mergeCell ref="BB27:BD27"/>
    <mergeCell ref="BB28:BD28"/>
    <mergeCell ref="A1:L1"/>
    <mergeCell ref="AK10:AK20"/>
    <mergeCell ref="A35:AH35"/>
    <mergeCell ref="A6:A16"/>
    <mergeCell ref="H6:H16"/>
    <mergeCell ref="H17:L17"/>
    <mergeCell ref="A17:E17"/>
    <mergeCell ref="AC6:AC16"/>
    <mergeCell ref="AC17:AG17"/>
    <mergeCell ref="A34:AH34"/>
    <mergeCell ref="AE30:AG30"/>
    <mergeCell ref="C31:E31"/>
    <mergeCell ref="J31:L31"/>
    <mergeCell ref="Q31:S31"/>
    <mergeCell ref="X31:Z31"/>
    <mergeCell ref="AE31:AG31"/>
    <mergeCell ref="C30:E30"/>
    <mergeCell ref="X30:Z30"/>
    <mergeCell ref="A26:A32"/>
    <mergeCell ref="J32:L32"/>
    <mergeCell ref="C27:E27"/>
    <mergeCell ref="J27:L27"/>
    <mergeCell ref="Q27:S27"/>
    <mergeCell ref="X27:Z27"/>
    <mergeCell ref="C32:E32"/>
    <mergeCell ref="Q32:S32"/>
    <mergeCell ref="Q29:S29"/>
    <mergeCell ref="X29:Z29"/>
    <mergeCell ref="X28:Z28"/>
    <mergeCell ref="Q30:S30"/>
    <mergeCell ref="O6:O16"/>
    <mergeCell ref="AE29:AG29"/>
    <mergeCell ref="AH26:AI26"/>
    <mergeCell ref="AE28:AG28"/>
    <mergeCell ref="T26:U26"/>
    <mergeCell ref="V26:V32"/>
    <mergeCell ref="X26:Z26"/>
    <mergeCell ref="AE32:AG32"/>
    <mergeCell ref="C29:E29"/>
    <mergeCell ref="J29:L29"/>
    <mergeCell ref="V6:V16"/>
    <mergeCell ref="AE26:AG26"/>
    <mergeCell ref="AA26:AB26"/>
    <mergeCell ref="Q28:S28"/>
    <mergeCell ref="C26:E26"/>
    <mergeCell ref="V17:Z17"/>
    <mergeCell ref="AC18:AC25"/>
    <mergeCell ref="V18:V25"/>
    <mergeCell ref="AC2:AC4"/>
    <mergeCell ref="AD2:AG2"/>
    <mergeCell ref="AD4:AG4"/>
    <mergeCell ref="O2:O4"/>
    <mergeCell ref="W4:Z4"/>
    <mergeCell ref="P4:S4"/>
    <mergeCell ref="V5:Z5"/>
    <mergeCell ref="AC5:AG5"/>
    <mergeCell ref="Q26:S26"/>
    <mergeCell ref="P2:S2"/>
    <mergeCell ref="V2:V4"/>
    <mergeCell ref="A2:A4"/>
    <mergeCell ref="B2:E2"/>
    <mergeCell ref="H2:H4"/>
    <mergeCell ref="B4:E4"/>
    <mergeCell ref="I4:L4"/>
    <mergeCell ref="I2:L2"/>
    <mergeCell ref="W2:Z2"/>
    <mergeCell ref="A5:E5"/>
    <mergeCell ref="H5:L5"/>
    <mergeCell ref="O5:S5"/>
    <mergeCell ref="F26:G26"/>
    <mergeCell ref="H26:H32"/>
    <mergeCell ref="J26:L26"/>
    <mergeCell ref="J30:L30"/>
    <mergeCell ref="O18:O25"/>
    <mergeCell ref="X32:Z32"/>
    <mergeCell ref="AE27:AG27"/>
    <mergeCell ref="AC26:AC32"/>
    <mergeCell ref="A18:A25"/>
    <mergeCell ref="H18:H25"/>
    <mergeCell ref="O17:S17"/>
    <mergeCell ref="M26:N26"/>
    <mergeCell ref="O26:O32"/>
    <mergeCell ref="C28:E28"/>
    <mergeCell ref="J28:L28"/>
  </mergeCells>
  <printOptions horizontalCentered="1"/>
  <pageMargins left="0" right="0" top="0" bottom="0" header="0.5118110236220472" footer="0.5118110236220472"/>
  <pageSetup fitToHeight="0" horizontalDpi="600" verticalDpi="6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BK53"/>
  <sheetViews>
    <sheetView view="pageBreakPreview" zoomScale="78" zoomScaleNormal="50" zoomScaleSheetLayoutView="78" zoomScalePageLayoutView="0" workbookViewId="0" topLeftCell="A1">
      <selection activeCell="P22" sqref="P22:S23"/>
    </sheetView>
  </sheetViews>
  <sheetFormatPr defaultColWidth="6.125" defaultRowHeight="22.5" customHeight="1"/>
  <cols>
    <col min="1" max="1" width="3.625" style="67" customWidth="1"/>
    <col min="2" max="2" width="20.50390625" style="68" bestFit="1" customWidth="1"/>
    <col min="3" max="3" width="6.125" style="68" customWidth="1"/>
    <col min="4" max="5" width="5.375" style="68" customWidth="1"/>
    <col min="6" max="6" width="6.125" style="69" customWidth="1"/>
    <col min="7" max="7" width="6.125" style="70" customWidth="1"/>
    <col min="8" max="8" width="3.625" style="67" customWidth="1"/>
    <col min="9" max="9" width="19.25390625" style="68" customWidth="1"/>
    <col min="10" max="10" width="6.125" style="68" customWidth="1"/>
    <col min="11" max="12" width="5.375" style="68" customWidth="1"/>
    <col min="13" max="13" width="5.50390625" style="69" customWidth="1"/>
    <col min="14" max="14" width="8.50390625" style="70" customWidth="1"/>
    <col min="15" max="15" width="3.625" style="67" customWidth="1"/>
    <col min="16" max="16" width="16.125" style="68" customWidth="1"/>
    <col min="17" max="17" width="6.125" style="68" customWidth="1"/>
    <col min="18" max="19" width="5.375" style="68" customWidth="1"/>
    <col min="20" max="20" width="6.125" style="69" customWidth="1"/>
    <col min="21" max="21" width="6.125" style="70" customWidth="1"/>
    <col min="22" max="22" width="3.625" style="71" customWidth="1"/>
    <col min="23" max="23" width="15.625" style="68" customWidth="1"/>
    <col min="24" max="24" width="6.125" style="68" customWidth="1"/>
    <col min="25" max="26" width="5.375" style="68" customWidth="1"/>
    <col min="27" max="27" width="5.875" style="69" customWidth="1"/>
    <col min="28" max="28" width="6.125" style="70" customWidth="1"/>
    <col min="29" max="29" width="3.625" style="67" customWidth="1"/>
    <col min="30" max="30" width="15.25390625" style="68" customWidth="1"/>
    <col min="31" max="31" width="6.125" style="68" customWidth="1"/>
    <col min="32" max="33" width="5.375" style="68" customWidth="1"/>
    <col min="34" max="34" width="6.125" style="72" customWidth="1"/>
    <col min="35" max="35" width="6.125" style="70" customWidth="1"/>
    <col min="36" max="36" width="8.00390625" style="73" bestFit="1" customWidth="1"/>
    <col min="37" max="37" width="6.25390625" style="73" bestFit="1" customWidth="1"/>
    <col min="38" max="43" width="6.125" style="73" customWidth="1"/>
    <col min="44" max="45" width="6.25390625" style="73" bestFit="1" customWidth="1"/>
    <col min="46" max="51" width="6.125" style="73" customWidth="1"/>
    <col min="52" max="52" width="6.25390625" style="73" bestFit="1" customWidth="1"/>
    <col min="53" max="16384" width="6.125" style="73" customWidth="1"/>
  </cols>
  <sheetData>
    <row r="1" spans="1:35" s="90" customFormat="1" ht="30" customHeight="1">
      <c r="A1" s="322" t="s">
        <v>233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230">
        <f>'[1]第五周'!$O$1</f>
        <v>6</v>
      </c>
      <c r="N1" s="231"/>
      <c r="O1" s="232">
        <f>'第二週'!O1+1</f>
        <v>16</v>
      </c>
      <c r="P1" s="233" t="s">
        <v>222</v>
      </c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  <c r="AC1" s="233"/>
      <c r="AD1" s="233"/>
      <c r="AE1" s="359">
        <v>72</v>
      </c>
      <c r="AF1" s="359"/>
      <c r="AG1" s="359"/>
      <c r="AH1" s="127"/>
      <c r="AI1" s="128"/>
    </row>
    <row r="2" spans="1:35" s="40" customFormat="1" ht="18.75" customHeight="1">
      <c r="A2" s="339" t="s">
        <v>27</v>
      </c>
      <c r="B2" s="362">
        <f>'第二週'!B2+7</f>
        <v>44907</v>
      </c>
      <c r="C2" s="362"/>
      <c r="D2" s="362"/>
      <c r="E2" s="362"/>
      <c r="F2" s="129"/>
      <c r="G2" s="130"/>
      <c r="H2" s="363" t="s">
        <v>27</v>
      </c>
      <c r="I2" s="365">
        <f>B2+1</f>
        <v>44908</v>
      </c>
      <c r="J2" s="365"/>
      <c r="K2" s="365"/>
      <c r="L2" s="365"/>
      <c r="M2" s="131"/>
      <c r="N2" s="132"/>
      <c r="O2" s="363" t="s">
        <v>27</v>
      </c>
      <c r="P2" s="341">
        <f>I2+1</f>
        <v>44909</v>
      </c>
      <c r="Q2" s="341"/>
      <c r="R2" s="341"/>
      <c r="S2" s="341"/>
      <c r="T2" s="133"/>
      <c r="U2" s="134"/>
      <c r="V2" s="363" t="s">
        <v>27</v>
      </c>
      <c r="W2" s="364">
        <f>P2+1</f>
        <v>44910</v>
      </c>
      <c r="X2" s="364"/>
      <c r="Y2" s="364"/>
      <c r="Z2" s="364"/>
      <c r="AA2" s="135"/>
      <c r="AB2" s="136"/>
      <c r="AC2" s="339" t="s">
        <v>27</v>
      </c>
      <c r="AD2" s="342">
        <f>W2+1</f>
        <v>44911</v>
      </c>
      <c r="AE2" s="342"/>
      <c r="AF2" s="342"/>
      <c r="AG2" s="343"/>
      <c r="AH2" s="137"/>
      <c r="AI2" s="138"/>
    </row>
    <row r="3" spans="1:35" s="40" customFormat="1" ht="18.75" customHeight="1">
      <c r="A3" s="340"/>
      <c r="B3" s="41" t="s">
        <v>99</v>
      </c>
      <c r="C3" s="41" t="s">
        <v>29</v>
      </c>
      <c r="D3" s="42" t="s">
        <v>30</v>
      </c>
      <c r="E3" s="42"/>
      <c r="F3" s="43" t="s">
        <v>32</v>
      </c>
      <c r="G3" s="41" t="s">
        <v>33</v>
      </c>
      <c r="H3" s="278"/>
      <c r="I3" s="41" t="s">
        <v>28</v>
      </c>
      <c r="J3" s="41" t="s">
        <v>29</v>
      </c>
      <c r="K3" s="42" t="s">
        <v>30</v>
      </c>
      <c r="L3" s="42" t="s">
        <v>31</v>
      </c>
      <c r="M3" s="43" t="s">
        <v>32</v>
      </c>
      <c r="N3" s="41" t="s">
        <v>33</v>
      </c>
      <c r="O3" s="278"/>
      <c r="P3" s="41" t="s">
        <v>28</v>
      </c>
      <c r="Q3" s="41" t="s">
        <v>29</v>
      </c>
      <c r="R3" s="42" t="s">
        <v>30</v>
      </c>
      <c r="S3" s="42" t="s">
        <v>31</v>
      </c>
      <c r="T3" s="43" t="s">
        <v>32</v>
      </c>
      <c r="U3" s="41" t="s">
        <v>33</v>
      </c>
      <c r="V3" s="278"/>
      <c r="W3" s="41" t="s">
        <v>28</v>
      </c>
      <c r="X3" s="41" t="s">
        <v>29</v>
      </c>
      <c r="Y3" s="42" t="s">
        <v>30</v>
      </c>
      <c r="Z3" s="42" t="s">
        <v>31</v>
      </c>
      <c r="AA3" s="43" t="s">
        <v>32</v>
      </c>
      <c r="AB3" s="44" t="s">
        <v>33</v>
      </c>
      <c r="AC3" s="340"/>
      <c r="AD3" s="41" t="s">
        <v>28</v>
      </c>
      <c r="AE3" s="41" t="s">
        <v>29</v>
      </c>
      <c r="AF3" s="48" t="s">
        <v>30</v>
      </c>
      <c r="AG3" s="139" t="s">
        <v>31</v>
      </c>
      <c r="AH3" s="140" t="s">
        <v>32</v>
      </c>
      <c r="AI3" s="141" t="s">
        <v>33</v>
      </c>
    </row>
    <row r="4" spans="1:35" s="50" customFormat="1" ht="18.75" customHeight="1" hidden="1">
      <c r="A4" s="340"/>
      <c r="B4" s="262" t="s">
        <v>34</v>
      </c>
      <c r="C4" s="262"/>
      <c r="D4" s="262"/>
      <c r="E4" s="262"/>
      <c r="F4" s="45"/>
      <c r="G4" s="46"/>
      <c r="H4" s="278"/>
      <c r="I4" s="262" t="s">
        <v>35</v>
      </c>
      <c r="J4" s="262"/>
      <c r="K4" s="262"/>
      <c r="L4" s="262"/>
      <c r="M4" s="45"/>
      <c r="N4" s="46"/>
      <c r="O4" s="278"/>
      <c r="P4" s="262" t="s">
        <v>36</v>
      </c>
      <c r="Q4" s="262"/>
      <c r="R4" s="262"/>
      <c r="S4" s="262"/>
      <c r="T4" s="43"/>
      <c r="U4" s="42"/>
      <c r="V4" s="278"/>
      <c r="W4" s="262" t="s">
        <v>37</v>
      </c>
      <c r="X4" s="262"/>
      <c r="Y4" s="262"/>
      <c r="Z4" s="262"/>
      <c r="AA4" s="45"/>
      <c r="AB4" s="47"/>
      <c r="AC4" s="361"/>
      <c r="AD4" s="344" t="s">
        <v>38</v>
      </c>
      <c r="AE4" s="344"/>
      <c r="AF4" s="344"/>
      <c r="AG4" s="345"/>
      <c r="AH4" s="142"/>
      <c r="AI4" s="46"/>
    </row>
    <row r="5" spans="1:43" s="50" customFormat="1" ht="18.75" customHeight="1">
      <c r="A5" s="360" t="s">
        <v>39</v>
      </c>
      <c r="B5" s="273"/>
      <c r="C5" s="273"/>
      <c r="D5" s="273"/>
      <c r="E5" s="273"/>
      <c r="F5" s="85"/>
      <c r="G5" s="86"/>
      <c r="H5" s="277" t="s">
        <v>39</v>
      </c>
      <c r="I5" s="273"/>
      <c r="J5" s="273"/>
      <c r="K5" s="273"/>
      <c r="L5" s="273"/>
      <c r="M5" s="85"/>
      <c r="N5" s="86"/>
      <c r="O5" s="277" t="s">
        <v>39</v>
      </c>
      <c r="P5" s="273"/>
      <c r="Q5" s="273"/>
      <c r="R5" s="273"/>
      <c r="S5" s="273"/>
      <c r="T5" s="85"/>
      <c r="U5" s="86"/>
      <c r="V5" s="277" t="s">
        <v>39</v>
      </c>
      <c r="W5" s="273"/>
      <c r="X5" s="273"/>
      <c r="Y5" s="273"/>
      <c r="Z5" s="273"/>
      <c r="AA5" s="85"/>
      <c r="AB5" s="87"/>
      <c r="AC5" s="347" t="s">
        <v>39</v>
      </c>
      <c r="AD5" s="348"/>
      <c r="AE5" s="348"/>
      <c r="AF5" s="348"/>
      <c r="AG5" s="349"/>
      <c r="AH5" s="45"/>
      <c r="AI5" s="46"/>
      <c r="AM5" s="266" t="s">
        <v>139</v>
      </c>
      <c r="AN5" s="21" t="s">
        <v>137</v>
      </c>
      <c r="AO5" s="21">
        <v>16</v>
      </c>
      <c r="AP5" s="75">
        <f>ROUND($AE$1*AO5/1000,1)</f>
        <v>1.2</v>
      </c>
      <c r="AQ5" s="74" t="s">
        <v>0</v>
      </c>
    </row>
    <row r="6" spans="1:43" s="50" customFormat="1" ht="18.75" customHeight="1">
      <c r="A6" s="303" t="s">
        <v>269</v>
      </c>
      <c r="B6" s="144" t="s">
        <v>268</v>
      </c>
      <c r="C6" s="144">
        <v>6</v>
      </c>
      <c r="D6" s="75">
        <f>ROUND($AE$1*C6/200,0)</f>
        <v>2</v>
      </c>
      <c r="E6" s="77" t="s">
        <v>22</v>
      </c>
      <c r="F6" s="252"/>
      <c r="G6" s="77">
        <f>D6*F6</f>
        <v>0</v>
      </c>
      <c r="H6" s="266" t="s">
        <v>251</v>
      </c>
      <c r="I6" s="53" t="s">
        <v>13</v>
      </c>
      <c r="J6" s="53">
        <v>75</v>
      </c>
      <c r="K6" s="21">
        <f>ROUND($AE$1*J6/1000,0)</f>
        <v>5</v>
      </c>
      <c r="L6" s="75" t="s">
        <v>0</v>
      </c>
      <c r="M6" s="252"/>
      <c r="N6" s="77">
        <f>K6*M6</f>
        <v>0</v>
      </c>
      <c r="O6" s="303" t="s">
        <v>140</v>
      </c>
      <c r="P6" s="56" t="s">
        <v>141</v>
      </c>
      <c r="Q6" s="56">
        <v>50</v>
      </c>
      <c r="R6" s="75">
        <f>ROUND($AE$1*Q6/500,0)</f>
        <v>7</v>
      </c>
      <c r="S6" s="123" t="s">
        <v>22</v>
      </c>
      <c r="T6" s="252"/>
      <c r="U6" s="77">
        <f>R6*T6</f>
        <v>0</v>
      </c>
      <c r="V6" s="266" t="s">
        <v>261</v>
      </c>
      <c r="W6" s="21" t="s">
        <v>41</v>
      </c>
      <c r="X6" s="21">
        <v>0.5</v>
      </c>
      <c r="Y6" s="75">
        <f>ROUND($AE$1*X6,1)</f>
        <v>36</v>
      </c>
      <c r="Z6" s="165" t="s">
        <v>59</v>
      </c>
      <c r="AA6" s="252"/>
      <c r="AB6" s="77">
        <f>Y6*AA6</f>
        <v>0</v>
      </c>
      <c r="AC6" s="266" t="s">
        <v>260</v>
      </c>
      <c r="AD6" s="21" t="s">
        <v>137</v>
      </c>
      <c r="AE6" s="21">
        <v>16</v>
      </c>
      <c r="AF6" s="75">
        <f>ROUND($AE$1*AE6/1000,1)</f>
        <v>1.2</v>
      </c>
      <c r="AG6" s="74" t="s">
        <v>0</v>
      </c>
      <c r="AH6" s="252"/>
      <c r="AI6" s="77">
        <f>AF6*AH6</f>
        <v>0</v>
      </c>
      <c r="AM6" s="267"/>
      <c r="AN6" s="21" t="s">
        <v>79</v>
      </c>
      <c r="AO6" s="21">
        <v>1.5</v>
      </c>
      <c r="AP6" s="75">
        <f aca="true" t="shared" si="0" ref="AP6:AP11">ROUND($AE$1*AO6/1000,1)</f>
        <v>0.1</v>
      </c>
      <c r="AQ6" s="74" t="s">
        <v>0</v>
      </c>
    </row>
    <row r="7" spans="1:43" s="50" customFormat="1" ht="18.75" customHeight="1">
      <c r="A7" s="304"/>
      <c r="B7" s="76" t="s">
        <v>266</v>
      </c>
      <c r="C7" s="77">
        <v>45</v>
      </c>
      <c r="D7" s="75">
        <f>ROUND($AE$1*C7/1000,0)</f>
        <v>3</v>
      </c>
      <c r="E7" s="77" t="s">
        <v>52</v>
      </c>
      <c r="F7" s="252"/>
      <c r="G7" s="77">
        <f>D7*F7</f>
        <v>0</v>
      </c>
      <c r="H7" s="267"/>
      <c r="I7" s="21" t="s">
        <v>252</v>
      </c>
      <c r="J7" s="21">
        <v>15</v>
      </c>
      <c r="K7" s="75" t="s">
        <v>253</v>
      </c>
      <c r="L7" s="75" t="s">
        <v>0</v>
      </c>
      <c r="M7" s="252"/>
      <c r="N7" s="77" t="e">
        <f>K7*M7</f>
        <v>#VALUE!</v>
      </c>
      <c r="O7" s="304"/>
      <c r="P7" s="56" t="s">
        <v>106</v>
      </c>
      <c r="Q7" s="56">
        <v>16.5</v>
      </c>
      <c r="R7" s="165" t="s">
        <v>23</v>
      </c>
      <c r="S7" s="94" t="s">
        <v>0</v>
      </c>
      <c r="T7" s="252"/>
      <c r="U7" s="77" t="e">
        <f>R7*T7</f>
        <v>#VALUE!</v>
      </c>
      <c r="V7" s="267"/>
      <c r="W7" s="21" t="s">
        <v>262</v>
      </c>
      <c r="X7" s="21">
        <v>16</v>
      </c>
      <c r="Y7" s="75">
        <f>ROUND($AE$1*X7/200,0)</f>
        <v>6</v>
      </c>
      <c r="Z7" s="165" t="s">
        <v>21</v>
      </c>
      <c r="AA7" s="252"/>
      <c r="AB7" s="77">
        <f>Y7*AA7</f>
        <v>0</v>
      </c>
      <c r="AC7" s="267"/>
      <c r="AD7" s="21" t="s">
        <v>79</v>
      </c>
      <c r="AE7" s="21">
        <v>1.5</v>
      </c>
      <c r="AF7" s="75">
        <f aca="true" t="shared" si="1" ref="AF7:AF12">ROUND($AE$1*AE7/1000,1)</f>
        <v>0.1</v>
      </c>
      <c r="AG7" s="74" t="s">
        <v>0</v>
      </c>
      <c r="AH7" s="252"/>
      <c r="AI7" s="77">
        <f>AF7*AH7</f>
        <v>0</v>
      </c>
      <c r="AM7" s="267"/>
      <c r="AN7" s="153" t="s">
        <v>26</v>
      </c>
      <c r="AO7" s="146">
        <v>20</v>
      </c>
      <c r="AP7" s="75">
        <f t="shared" si="0"/>
        <v>1.4</v>
      </c>
      <c r="AQ7" s="74" t="s">
        <v>0</v>
      </c>
    </row>
    <row r="8" spans="1:43" s="50" customFormat="1" ht="18.75" customHeight="1">
      <c r="A8" s="304"/>
      <c r="B8" s="56" t="s">
        <v>267</v>
      </c>
      <c r="C8" s="77">
        <v>85</v>
      </c>
      <c r="D8" s="75">
        <f>ROUND($AE$1*C8/1000,0)</f>
        <v>6</v>
      </c>
      <c r="E8" s="77" t="s">
        <v>52</v>
      </c>
      <c r="F8" s="252"/>
      <c r="G8" s="77">
        <f>D8*F8</f>
        <v>0</v>
      </c>
      <c r="H8" s="267"/>
      <c r="I8" s="21" t="s">
        <v>26</v>
      </c>
      <c r="J8" s="21">
        <v>16</v>
      </c>
      <c r="K8" s="21">
        <f>ROUND($AE$1*J8/1000,1)</f>
        <v>1.2</v>
      </c>
      <c r="L8" s="75" t="s">
        <v>0</v>
      </c>
      <c r="M8" s="252"/>
      <c r="N8" s="77">
        <f>K8*M8</f>
        <v>0</v>
      </c>
      <c r="O8" s="304"/>
      <c r="P8" s="56" t="s">
        <v>72</v>
      </c>
      <c r="Q8" s="56">
        <v>8</v>
      </c>
      <c r="R8" s="75">
        <f aca="true" t="shared" si="2" ref="R8:R13">ROUND($AE$1*Q8/1000,1)</f>
        <v>0.6</v>
      </c>
      <c r="S8" s="94" t="s">
        <v>0</v>
      </c>
      <c r="T8" s="252"/>
      <c r="U8" s="77">
        <f>R8*T8</f>
        <v>0</v>
      </c>
      <c r="V8" s="267"/>
      <c r="W8" s="21" t="s">
        <v>75</v>
      </c>
      <c r="X8" s="22">
        <v>1.3</v>
      </c>
      <c r="Y8" s="75">
        <v>2</v>
      </c>
      <c r="Z8" s="165" t="s">
        <v>76</v>
      </c>
      <c r="AA8" s="252"/>
      <c r="AB8" s="77">
        <f>Y8*AA8</f>
        <v>0</v>
      </c>
      <c r="AC8" s="267"/>
      <c r="AD8" s="153" t="s">
        <v>26</v>
      </c>
      <c r="AE8" s="146">
        <v>20</v>
      </c>
      <c r="AF8" s="75">
        <f t="shared" si="1"/>
        <v>1.4</v>
      </c>
      <c r="AG8" s="74" t="s">
        <v>0</v>
      </c>
      <c r="AH8" s="252"/>
      <c r="AI8" s="77">
        <f>AF8*AH8</f>
        <v>0</v>
      </c>
      <c r="AM8" s="267"/>
      <c r="AN8" s="21" t="s">
        <v>77</v>
      </c>
      <c r="AO8" s="21">
        <v>5</v>
      </c>
      <c r="AP8" s="75">
        <f t="shared" si="0"/>
        <v>0.4</v>
      </c>
      <c r="AQ8" s="75" t="s">
        <v>0</v>
      </c>
    </row>
    <row r="9" spans="1:43" s="50" customFormat="1" ht="18.75" customHeight="1">
      <c r="A9" s="304"/>
      <c r="B9" s="56"/>
      <c r="C9" s="56"/>
      <c r="D9" s="91"/>
      <c r="E9" s="91"/>
      <c r="F9" s="252"/>
      <c r="G9" s="77">
        <f>D9*F9</f>
        <v>0</v>
      </c>
      <c r="H9" s="267"/>
      <c r="I9" s="21" t="s">
        <v>71</v>
      </c>
      <c r="J9" s="21">
        <v>8</v>
      </c>
      <c r="K9" s="21">
        <f>ROUND($AE$1*J9/1000,1)</f>
        <v>0.6</v>
      </c>
      <c r="L9" s="75" t="s">
        <v>0</v>
      </c>
      <c r="M9" s="252"/>
      <c r="N9" s="77">
        <f>K9*M9</f>
        <v>0</v>
      </c>
      <c r="O9" s="304"/>
      <c r="P9" s="56" t="s">
        <v>71</v>
      </c>
      <c r="Q9" s="56">
        <v>8.5</v>
      </c>
      <c r="R9" s="75">
        <f t="shared" si="2"/>
        <v>0.6</v>
      </c>
      <c r="S9" s="94" t="s">
        <v>0</v>
      </c>
      <c r="T9" s="252"/>
      <c r="U9" s="77">
        <f>R9*T9</f>
        <v>0</v>
      </c>
      <c r="V9" s="267"/>
      <c r="W9" s="21" t="s">
        <v>165</v>
      </c>
      <c r="X9" s="22">
        <v>1.3</v>
      </c>
      <c r="Y9" s="75">
        <v>2</v>
      </c>
      <c r="Z9" s="165" t="s">
        <v>76</v>
      </c>
      <c r="AA9" s="252"/>
      <c r="AB9" s="77">
        <f>Y9*AA9</f>
        <v>0</v>
      </c>
      <c r="AC9" s="267"/>
      <c r="AD9" s="21" t="s">
        <v>77</v>
      </c>
      <c r="AE9" s="21">
        <v>5</v>
      </c>
      <c r="AF9" s="75">
        <f t="shared" si="1"/>
        <v>0.4</v>
      </c>
      <c r="AG9" s="75" t="s">
        <v>0</v>
      </c>
      <c r="AH9" s="252"/>
      <c r="AI9" s="77">
        <f>AF9*AH9</f>
        <v>0</v>
      </c>
      <c r="AM9" s="267"/>
      <c r="AN9" s="21" t="s">
        <v>136</v>
      </c>
      <c r="AO9" s="21">
        <v>5</v>
      </c>
      <c r="AP9" s="75">
        <f t="shared" si="0"/>
        <v>0.4</v>
      </c>
      <c r="AQ9" s="75" t="s">
        <v>0</v>
      </c>
    </row>
    <row r="10" spans="1:46" s="50" customFormat="1" ht="18.75" customHeight="1">
      <c r="A10" s="304"/>
      <c r="B10" s="56"/>
      <c r="C10" s="56"/>
      <c r="D10" s="147"/>
      <c r="E10" s="21"/>
      <c r="F10" s="157"/>
      <c r="G10" s="52">
        <f>D10*F10</f>
        <v>0</v>
      </c>
      <c r="H10" s="267"/>
      <c r="I10" s="21" t="s">
        <v>254</v>
      </c>
      <c r="J10" s="21">
        <v>8</v>
      </c>
      <c r="K10" s="21">
        <f>ROUND($AE$1*J10/1000,1)</f>
        <v>0.6</v>
      </c>
      <c r="L10" s="75" t="s">
        <v>0</v>
      </c>
      <c r="M10" s="157"/>
      <c r="N10" s="52">
        <f>K10*M10</f>
        <v>0</v>
      </c>
      <c r="O10" s="304"/>
      <c r="P10" s="56" t="s">
        <v>74</v>
      </c>
      <c r="Q10" s="56">
        <v>2.5</v>
      </c>
      <c r="R10" s="75">
        <f t="shared" si="2"/>
        <v>0.2</v>
      </c>
      <c r="S10" s="91" t="s">
        <v>0</v>
      </c>
      <c r="T10" s="157"/>
      <c r="U10" s="52">
        <f>R10*T10</f>
        <v>0</v>
      </c>
      <c r="V10" s="267"/>
      <c r="W10" s="241" t="s">
        <v>232</v>
      </c>
      <c r="X10" s="243">
        <v>120</v>
      </c>
      <c r="Y10" s="244" t="s">
        <v>23</v>
      </c>
      <c r="Z10" s="77" t="s">
        <v>52</v>
      </c>
      <c r="AA10" s="157"/>
      <c r="AB10" s="52" t="e">
        <f>Y10*AA10</f>
        <v>#VALUE!</v>
      </c>
      <c r="AC10" s="267"/>
      <c r="AD10" s="21" t="s">
        <v>136</v>
      </c>
      <c r="AE10" s="21">
        <v>5</v>
      </c>
      <c r="AF10" s="75">
        <f t="shared" si="1"/>
        <v>0.4</v>
      </c>
      <c r="AG10" s="75" t="s">
        <v>0</v>
      </c>
      <c r="AH10" s="157"/>
      <c r="AI10" s="52">
        <f>AF10*AH10</f>
        <v>0</v>
      </c>
      <c r="AM10" s="267"/>
      <c r="AN10" s="21" t="s">
        <v>138</v>
      </c>
      <c r="AO10" s="21">
        <v>50</v>
      </c>
      <c r="AP10" s="75">
        <f t="shared" si="0"/>
        <v>3.6</v>
      </c>
      <c r="AQ10" s="75" t="s">
        <v>0</v>
      </c>
      <c r="AR10" s="21">
        <v>62</v>
      </c>
      <c r="AS10" s="75">
        <v>0.9</v>
      </c>
      <c r="AT10" s="74" t="s">
        <v>0</v>
      </c>
    </row>
    <row r="11" spans="1:46" s="50" customFormat="1" ht="18.75" customHeight="1">
      <c r="A11" s="304"/>
      <c r="B11" s="56"/>
      <c r="C11" s="56"/>
      <c r="D11" s="147"/>
      <c r="E11" s="91"/>
      <c r="F11" s="252"/>
      <c r="G11" s="77"/>
      <c r="H11" s="267"/>
      <c r="I11" s="21" t="s">
        <v>255</v>
      </c>
      <c r="J11" s="21">
        <v>33</v>
      </c>
      <c r="K11" s="21">
        <f>ROUND($AE$1*J11/1000,1)</f>
        <v>2.4</v>
      </c>
      <c r="L11" s="75" t="s">
        <v>0</v>
      </c>
      <c r="M11" s="252"/>
      <c r="N11" s="77"/>
      <c r="O11" s="304"/>
      <c r="P11" s="56" t="s">
        <v>87</v>
      </c>
      <c r="Q11" s="56">
        <v>0.5</v>
      </c>
      <c r="R11" s="165" t="s">
        <v>23</v>
      </c>
      <c r="S11" s="94" t="s">
        <v>0</v>
      </c>
      <c r="T11" s="252"/>
      <c r="U11" s="77"/>
      <c r="V11" s="267"/>
      <c r="W11" s="242" t="s">
        <v>247</v>
      </c>
      <c r="X11" s="155"/>
      <c r="Y11" s="91"/>
      <c r="Z11" s="91"/>
      <c r="AA11" s="252"/>
      <c r="AB11" s="77"/>
      <c r="AC11" s="267"/>
      <c r="AD11" s="21" t="s">
        <v>138</v>
      </c>
      <c r="AE11" s="21">
        <v>50</v>
      </c>
      <c r="AF11" s="75">
        <f t="shared" si="1"/>
        <v>3.6</v>
      </c>
      <c r="AG11" s="75" t="s">
        <v>0</v>
      </c>
      <c r="AH11" s="252"/>
      <c r="AI11" s="77"/>
      <c r="AM11" s="267"/>
      <c r="AN11" s="21" t="s">
        <v>1</v>
      </c>
      <c r="AO11" s="21">
        <v>20</v>
      </c>
      <c r="AP11" s="75">
        <f t="shared" si="0"/>
        <v>1.4</v>
      </c>
      <c r="AQ11" s="75" t="s">
        <v>0</v>
      </c>
      <c r="AR11" s="21">
        <v>23</v>
      </c>
      <c r="AS11" s="75">
        <v>1.5</v>
      </c>
      <c r="AT11" s="74" t="s">
        <v>0</v>
      </c>
    </row>
    <row r="12" spans="1:46" s="40" customFormat="1" ht="18.75" customHeight="1">
      <c r="A12" s="304"/>
      <c r="B12" s="56"/>
      <c r="C12" s="56"/>
      <c r="D12" s="91"/>
      <c r="E12" s="94"/>
      <c r="F12" s="143"/>
      <c r="G12" s="77"/>
      <c r="H12" s="267"/>
      <c r="I12" s="21" t="s">
        <v>256</v>
      </c>
      <c r="J12" s="21">
        <v>11</v>
      </c>
      <c r="K12" s="21">
        <f>ROUND($AE$1*J12/400,1)</f>
        <v>2</v>
      </c>
      <c r="L12" s="75" t="s">
        <v>25</v>
      </c>
      <c r="M12" s="252"/>
      <c r="N12" s="77"/>
      <c r="O12" s="304"/>
      <c r="P12" s="56" t="s">
        <v>107</v>
      </c>
      <c r="Q12" s="56">
        <v>30</v>
      </c>
      <c r="R12" s="75">
        <f t="shared" si="2"/>
        <v>2.2</v>
      </c>
      <c r="S12" s="94" t="s">
        <v>0</v>
      </c>
      <c r="T12" s="143"/>
      <c r="U12" s="77"/>
      <c r="V12" s="267"/>
      <c r="W12" s="56"/>
      <c r="X12" s="56"/>
      <c r="Y12" s="91"/>
      <c r="Z12" s="91"/>
      <c r="AA12" s="252"/>
      <c r="AB12" s="77"/>
      <c r="AC12" s="267"/>
      <c r="AD12" s="21" t="s">
        <v>1</v>
      </c>
      <c r="AE12" s="21">
        <v>20</v>
      </c>
      <c r="AF12" s="75">
        <f t="shared" si="1"/>
        <v>1.4</v>
      </c>
      <c r="AG12" s="75" t="s">
        <v>0</v>
      </c>
      <c r="AH12" s="252"/>
      <c r="AI12" s="77"/>
      <c r="AM12" s="267"/>
      <c r="AN12" s="21"/>
      <c r="AO12" s="21"/>
      <c r="AP12" s="75"/>
      <c r="AQ12" s="75"/>
      <c r="AR12" s="21">
        <v>1.5</v>
      </c>
      <c r="AS12" s="75">
        <v>0.1</v>
      </c>
      <c r="AT12" s="74" t="s">
        <v>0</v>
      </c>
    </row>
    <row r="13" spans="1:46" s="50" customFormat="1" ht="18.75" customHeight="1">
      <c r="A13" s="304"/>
      <c r="B13" s="56"/>
      <c r="C13" s="56"/>
      <c r="D13" s="91"/>
      <c r="E13" s="94"/>
      <c r="F13" s="143"/>
      <c r="G13" s="77"/>
      <c r="H13" s="267"/>
      <c r="I13" s="53" t="s">
        <v>257</v>
      </c>
      <c r="J13" s="53">
        <v>8</v>
      </c>
      <c r="K13" s="21">
        <f>ROUND($AE$1*J13/1000,1)</f>
        <v>0.6</v>
      </c>
      <c r="L13" s="75" t="s">
        <v>0</v>
      </c>
      <c r="M13" s="252"/>
      <c r="N13" s="77"/>
      <c r="O13" s="304"/>
      <c r="P13" s="148" t="s">
        <v>73</v>
      </c>
      <c r="Q13" s="148">
        <v>10</v>
      </c>
      <c r="R13" s="75">
        <f t="shared" si="2"/>
        <v>0.7</v>
      </c>
      <c r="S13" s="94" t="s">
        <v>0</v>
      </c>
      <c r="T13" s="143"/>
      <c r="U13" s="77"/>
      <c r="V13" s="267"/>
      <c r="W13" s="21"/>
      <c r="X13" s="21"/>
      <c r="Y13" s="75"/>
      <c r="Z13" s="75"/>
      <c r="AA13" s="252"/>
      <c r="AB13" s="77"/>
      <c r="AC13" s="267"/>
      <c r="AD13" s="21"/>
      <c r="AE13" s="21"/>
      <c r="AF13" s="75"/>
      <c r="AG13" s="75"/>
      <c r="AH13" s="252"/>
      <c r="AI13" s="77"/>
      <c r="AM13" s="267"/>
      <c r="AN13" s="78"/>
      <c r="AO13" s="59"/>
      <c r="AP13" s="75"/>
      <c r="AQ13" s="75"/>
      <c r="AR13" s="146">
        <v>18</v>
      </c>
      <c r="AS13" s="75">
        <v>1.5</v>
      </c>
      <c r="AT13" s="74" t="s">
        <v>0</v>
      </c>
    </row>
    <row r="14" spans="1:46" s="50" customFormat="1" ht="18.75" customHeight="1">
      <c r="A14" s="304"/>
      <c r="B14" s="148"/>
      <c r="C14" s="148"/>
      <c r="D14" s="91"/>
      <c r="E14" s="94"/>
      <c r="F14" s="143"/>
      <c r="G14" s="77"/>
      <c r="H14" s="267"/>
      <c r="I14" s="53" t="s">
        <v>258</v>
      </c>
      <c r="J14" s="53">
        <v>8</v>
      </c>
      <c r="K14" s="21">
        <f>ROUND($AE$1*J14/600,1)</f>
        <v>1</v>
      </c>
      <c r="L14" s="75" t="s">
        <v>25</v>
      </c>
      <c r="M14" s="252"/>
      <c r="N14" s="77"/>
      <c r="O14" s="304"/>
      <c r="P14" s="148"/>
      <c r="Q14" s="148"/>
      <c r="R14" s="75"/>
      <c r="S14" s="94"/>
      <c r="T14" s="143"/>
      <c r="U14" s="77"/>
      <c r="V14" s="267"/>
      <c r="W14" s="53"/>
      <c r="X14" s="53"/>
      <c r="Y14" s="75"/>
      <c r="Z14" s="75"/>
      <c r="AA14" s="252"/>
      <c r="AB14" s="77"/>
      <c r="AC14" s="267"/>
      <c r="AD14" s="78"/>
      <c r="AE14" s="59"/>
      <c r="AF14" s="75"/>
      <c r="AG14" s="75"/>
      <c r="AH14" s="252"/>
      <c r="AI14" s="77"/>
      <c r="AM14" s="267"/>
      <c r="AN14" s="59"/>
      <c r="AO14" s="59"/>
      <c r="AP14" s="75"/>
      <c r="AQ14" s="75"/>
      <c r="AR14" s="53">
        <v>19</v>
      </c>
      <c r="AS14" s="75">
        <v>1.2</v>
      </c>
      <c r="AT14" s="75" t="s">
        <v>0</v>
      </c>
    </row>
    <row r="15" spans="1:46" s="50" customFormat="1" ht="18.75" customHeight="1">
      <c r="A15" s="304"/>
      <c r="B15" s="148"/>
      <c r="C15" s="148"/>
      <c r="D15" s="91"/>
      <c r="E15" s="94"/>
      <c r="F15" s="143"/>
      <c r="G15" s="77"/>
      <c r="H15" s="267"/>
      <c r="I15" s="53" t="s">
        <v>259</v>
      </c>
      <c r="J15" s="21">
        <v>3.5</v>
      </c>
      <c r="K15" s="75" t="s">
        <v>253</v>
      </c>
      <c r="L15" s="75" t="s">
        <v>0</v>
      </c>
      <c r="M15" s="252"/>
      <c r="N15" s="77"/>
      <c r="O15" s="304"/>
      <c r="P15" s="148"/>
      <c r="Q15" s="148"/>
      <c r="R15" s="91"/>
      <c r="S15" s="94"/>
      <c r="T15" s="143"/>
      <c r="U15" s="77"/>
      <c r="V15" s="267"/>
      <c r="W15" s="53"/>
      <c r="X15" s="53"/>
      <c r="Y15" s="75"/>
      <c r="Z15" s="75"/>
      <c r="AA15" s="252"/>
      <c r="AB15" s="77"/>
      <c r="AC15" s="267"/>
      <c r="AD15" s="59"/>
      <c r="AE15" s="59"/>
      <c r="AF15" s="75"/>
      <c r="AG15" s="75"/>
      <c r="AH15" s="252"/>
      <c r="AI15" s="77"/>
      <c r="AM15" s="326"/>
      <c r="AN15" s="59"/>
      <c r="AO15" s="59"/>
      <c r="AP15" s="75"/>
      <c r="AQ15" s="75"/>
      <c r="AR15" s="21"/>
      <c r="AS15" s="75">
        <v>0.5</v>
      </c>
      <c r="AT15" s="75" t="s">
        <v>0</v>
      </c>
    </row>
    <row r="16" spans="1:46" s="50" customFormat="1" ht="18.75" customHeight="1">
      <c r="A16" s="346"/>
      <c r="B16" s="56"/>
      <c r="C16" s="56"/>
      <c r="D16" s="91"/>
      <c r="E16" s="94"/>
      <c r="F16" s="143"/>
      <c r="G16" s="77"/>
      <c r="H16" s="326"/>
      <c r="I16" s="225"/>
      <c r="J16" s="225"/>
      <c r="K16" s="75"/>
      <c r="L16" s="75"/>
      <c r="M16" s="252"/>
      <c r="N16" s="77"/>
      <c r="O16" s="346"/>
      <c r="P16" s="56"/>
      <c r="Q16" s="56"/>
      <c r="R16" s="91"/>
      <c r="S16" s="94"/>
      <c r="T16" s="143"/>
      <c r="U16" s="77"/>
      <c r="V16" s="326"/>
      <c r="W16" s="21"/>
      <c r="X16" s="21"/>
      <c r="Y16" s="75"/>
      <c r="Z16" s="75"/>
      <c r="AA16" s="252"/>
      <c r="AB16" s="77"/>
      <c r="AC16" s="326"/>
      <c r="AD16" s="59"/>
      <c r="AE16" s="59"/>
      <c r="AF16" s="75"/>
      <c r="AG16" s="75"/>
      <c r="AH16" s="252"/>
      <c r="AI16" s="77"/>
      <c r="AM16" s="337" t="s">
        <v>42</v>
      </c>
      <c r="AN16" s="273"/>
      <c r="AO16" s="273"/>
      <c r="AP16" s="273"/>
      <c r="AQ16" s="273"/>
      <c r="AR16" s="56">
        <v>8</v>
      </c>
      <c r="AS16" s="91">
        <f>ROUND($AE$1*AR16/1000,1)</f>
        <v>0.6</v>
      </c>
      <c r="AT16" s="94" t="s">
        <v>0</v>
      </c>
    </row>
    <row r="17" spans="1:46" s="50" customFormat="1" ht="18.75" customHeight="1">
      <c r="A17" s="337" t="s">
        <v>42</v>
      </c>
      <c r="B17" s="273"/>
      <c r="C17" s="273"/>
      <c r="D17" s="273"/>
      <c r="E17" s="273"/>
      <c r="F17" s="85"/>
      <c r="G17" s="86"/>
      <c r="H17" s="356" t="s">
        <v>42</v>
      </c>
      <c r="I17" s="357"/>
      <c r="J17" s="357"/>
      <c r="K17" s="357"/>
      <c r="L17" s="358"/>
      <c r="M17" s="251"/>
      <c r="N17" s="86"/>
      <c r="O17" s="355" t="s">
        <v>42</v>
      </c>
      <c r="P17" s="273"/>
      <c r="Q17" s="273"/>
      <c r="R17" s="273"/>
      <c r="S17" s="274"/>
      <c r="T17" s="85"/>
      <c r="U17" s="86"/>
      <c r="V17" s="355" t="s">
        <v>42</v>
      </c>
      <c r="W17" s="273"/>
      <c r="X17" s="273"/>
      <c r="Y17" s="273"/>
      <c r="Z17" s="338"/>
      <c r="AA17" s="251"/>
      <c r="AB17" s="86"/>
      <c r="AC17" s="337" t="s">
        <v>42</v>
      </c>
      <c r="AD17" s="273"/>
      <c r="AE17" s="273"/>
      <c r="AF17" s="273"/>
      <c r="AG17" s="338"/>
      <c r="AH17" s="251"/>
      <c r="AI17" s="86"/>
      <c r="AM17" s="352" t="s">
        <v>82</v>
      </c>
      <c r="AN17" s="21" t="s">
        <v>14</v>
      </c>
      <c r="AO17" s="21">
        <v>150</v>
      </c>
      <c r="AP17" s="75">
        <v>4</v>
      </c>
      <c r="AQ17" s="74" t="s">
        <v>52</v>
      </c>
      <c r="AR17" s="21"/>
      <c r="AS17" s="75"/>
      <c r="AT17" s="75"/>
    </row>
    <row r="18" spans="1:46" s="50" customFormat="1" ht="18.75" customHeight="1">
      <c r="A18" s="352" t="s">
        <v>100</v>
      </c>
      <c r="B18" s="77" t="s">
        <v>63</v>
      </c>
      <c r="C18" s="77">
        <v>43</v>
      </c>
      <c r="D18" s="75">
        <f>ROUND($AE$1*C18/1000,0)</f>
        <v>3</v>
      </c>
      <c r="E18" s="91" t="s">
        <v>0</v>
      </c>
      <c r="F18" s="252"/>
      <c r="G18" s="77">
        <f aca="true" t="shared" si="3" ref="G18:G25">D18*F18</f>
        <v>0</v>
      </c>
      <c r="H18" s="350" t="s">
        <v>198</v>
      </c>
      <c r="I18" s="21" t="s">
        <v>197</v>
      </c>
      <c r="J18" s="21">
        <v>10</v>
      </c>
      <c r="K18" s="91" t="s">
        <v>23</v>
      </c>
      <c r="L18" s="91" t="s">
        <v>0</v>
      </c>
      <c r="M18" s="252"/>
      <c r="N18" s="77" t="e">
        <f aca="true" t="shared" si="4" ref="N18:N25">K18*M18</f>
        <v>#VALUE!</v>
      </c>
      <c r="O18" s="352" t="s">
        <v>100</v>
      </c>
      <c r="P18" s="77" t="s">
        <v>20</v>
      </c>
      <c r="Q18" s="77">
        <v>43</v>
      </c>
      <c r="R18" s="75">
        <f>ROUND($AE$1*Q18/1000,0)</f>
        <v>3</v>
      </c>
      <c r="S18" s="91" t="s">
        <v>0</v>
      </c>
      <c r="T18" s="252"/>
      <c r="U18" s="145">
        <f aca="true" t="shared" si="5" ref="U18:U25">R18*T18</f>
        <v>0</v>
      </c>
      <c r="V18" s="266" t="s">
        <v>207</v>
      </c>
      <c r="W18" s="21" t="s">
        <v>206</v>
      </c>
      <c r="X18" s="21">
        <v>33</v>
      </c>
      <c r="Y18" s="75">
        <f>ROUND($AE$1*X18/1000,1)</f>
        <v>2.4</v>
      </c>
      <c r="Z18" s="75" t="s">
        <v>0</v>
      </c>
      <c r="AA18" s="252"/>
      <c r="AB18" s="77">
        <f aca="true" t="shared" si="6" ref="AB18:AB25">Y18*AA18</f>
        <v>0</v>
      </c>
      <c r="AC18" s="352" t="s">
        <v>82</v>
      </c>
      <c r="AD18" s="53" t="s">
        <v>80</v>
      </c>
      <c r="AE18" s="27"/>
      <c r="AF18" s="75">
        <v>3</v>
      </c>
      <c r="AG18" s="74" t="s">
        <v>25</v>
      </c>
      <c r="AH18" s="143"/>
      <c r="AI18" s="77">
        <f aca="true" t="shared" si="7" ref="AI18:AI25">AF18*AH18</f>
        <v>0</v>
      </c>
      <c r="AM18" s="353"/>
      <c r="AN18" s="53" t="s">
        <v>80</v>
      </c>
      <c r="AO18" s="27"/>
      <c r="AP18" s="75">
        <v>2</v>
      </c>
      <c r="AQ18" s="74" t="s">
        <v>25</v>
      </c>
      <c r="AR18" s="53"/>
      <c r="AS18" s="75"/>
      <c r="AT18" s="75"/>
    </row>
    <row r="19" spans="1:46" s="50" customFormat="1" ht="18.75" customHeight="1">
      <c r="A19" s="353"/>
      <c r="B19" s="77" t="s">
        <v>69</v>
      </c>
      <c r="C19" s="77">
        <v>43</v>
      </c>
      <c r="D19" s="75">
        <f>ROUND($AE$1*C19/1000,0)</f>
        <v>3</v>
      </c>
      <c r="E19" s="91" t="s">
        <v>0</v>
      </c>
      <c r="F19" s="252"/>
      <c r="G19" s="77">
        <f t="shared" si="3"/>
        <v>0</v>
      </c>
      <c r="H19" s="351"/>
      <c r="I19" s="56" t="s">
        <v>72</v>
      </c>
      <c r="J19" s="56">
        <v>8</v>
      </c>
      <c r="K19" s="75">
        <f>ROUND($AE$1*J19/1000,1)</f>
        <v>0.6</v>
      </c>
      <c r="L19" s="91" t="s">
        <v>0</v>
      </c>
      <c r="M19" s="252"/>
      <c r="N19" s="77">
        <f t="shared" si="4"/>
        <v>0</v>
      </c>
      <c r="O19" s="353"/>
      <c r="P19" s="77" t="s">
        <v>69</v>
      </c>
      <c r="Q19" s="77">
        <v>43</v>
      </c>
      <c r="R19" s="75">
        <f>ROUND($AE$1*Q19/1000,0)</f>
        <v>3</v>
      </c>
      <c r="S19" s="91" t="s">
        <v>0</v>
      </c>
      <c r="T19" s="252"/>
      <c r="U19" s="145">
        <f t="shared" si="5"/>
        <v>0</v>
      </c>
      <c r="V19" s="267"/>
      <c r="W19" s="21" t="s">
        <v>41</v>
      </c>
      <c r="X19" s="21">
        <v>10</v>
      </c>
      <c r="Y19" s="75">
        <f>ROUND($AE$1*X19/1000,1)</f>
        <v>0.7</v>
      </c>
      <c r="Z19" s="75" t="s">
        <v>0</v>
      </c>
      <c r="AA19" s="252"/>
      <c r="AB19" s="77">
        <f t="shared" si="6"/>
        <v>0</v>
      </c>
      <c r="AC19" s="353"/>
      <c r="AD19" s="27" t="s">
        <v>81</v>
      </c>
      <c r="AE19" s="27"/>
      <c r="AF19" s="75"/>
      <c r="AG19" s="74"/>
      <c r="AH19" s="143"/>
      <c r="AI19" s="77">
        <f t="shared" si="7"/>
        <v>0</v>
      </c>
      <c r="AM19" s="353"/>
      <c r="AN19" s="27" t="s">
        <v>81</v>
      </c>
      <c r="AO19" s="27"/>
      <c r="AP19" s="75"/>
      <c r="AQ19" s="74"/>
      <c r="AR19" s="53"/>
      <c r="AS19" s="75"/>
      <c r="AT19" s="75"/>
    </row>
    <row r="20" spans="1:46" s="50" customFormat="1" ht="18.75" customHeight="1">
      <c r="A20" s="353"/>
      <c r="B20" s="77" t="s">
        <v>173</v>
      </c>
      <c r="C20" s="77">
        <v>43</v>
      </c>
      <c r="D20" s="75">
        <f>ROUND($AE$1*C20/1000,0)</f>
        <v>3</v>
      </c>
      <c r="E20" s="91" t="s">
        <v>0</v>
      </c>
      <c r="F20" s="252"/>
      <c r="G20" s="77">
        <f t="shared" si="3"/>
        <v>0</v>
      </c>
      <c r="H20" s="351"/>
      <c r="I20" s="56" t="s">
        <v>71</v>
      </c>
      <c r="J20" s="56">
        <v>8</v>
      </c>
      <c r="K20" s="75">
        <f>ROUND($AE$1*J20/1000,1)</f>
        <v>0.6</v>
      </c>
      <c r="L20" s="91" t="s">
        <v>0</v>
      </c>
      <c r="M20" s="252"/>
      <c r="N20" s="77">
        <f t="shared" si="4"/>
        <v>0</v>
      </c>
      <c r="O20" s="353"/>
      <c r="P20" s="77" t="s">
        <v>47</v>
      </c>
      <c r="Q20" s="77">
        <v>43</v>
      </c>
      <c r="R20" s="75">
        <f>ROUND($AE$1*Q20/1000,0)</f>
        <v>3</v>
      </c>
      <c r="S20" s="91" t="s">
        <v>0</v>
      </c>
      <c r="T20" s="252"/>
      <c r="U20" s="145">
        <f t="shared" si="5"/>
        <v>0</v>
      </c>
      <c r="V20" s="267"/>
      <c r="W20" s="21" t="s">
        <v>159</v>
      </c>
      <c r="X20" s="21">
        <v>5</v>
      </c>
      <c r="Y20" s="75">
        <f>ROUND($AE$1*X20/1000,1)</f>
        <v>0.4</v>
      </c>
      <c r="Z20" s="75" t="s">
        <v>0</v>
      </c>
      <c r="AA20" s="252"/>
      <c r="AB20" s="77">
        <f t="shared" si="6"/>
        <v>0</v>
      </c>
      <c r="AC20" s="353"/>
      <c r="AD20" s="27"/>
      <c r="AE20" s="27"/>
      <c r="AF20" s="75"/>
      <c r="AG20" s="75"/>
      <c r="AH20" s="252"/>
      <c r="AI20" s="77">
        <f t="shared" si="7"/>
        <v>0</v>
      </c>
      <c r="AM20" s="353"/>
      <c r="AN20" s="60" t="s">
        <v>47</v>
      </c>
      <c r="AO20" s="21">
        <v>150</v>
      </c>
      <c r="AP20" s="75">
        <f>ROUND($AE$1*AO20/1000,1)</f>
        <v>10.8</v>
      </c>
      <c r="AQ20" s="75" t="s">
        <v>0</v>
      </c>
      <c r="AR20" s="21"/>
      <c r="AS20" s="75"/>
      <c r="AT20" s="75"/>
    </row>
    <row r="21" spans="1:43" s="50" customFormat="1" ht="18.75" customHeight="1">
      <c r="A21" s="353"/>
      <c r="B21" s="155"/>
      <c r="C21" s="155"/>
      <c r="D21" s="91"/>
      <c r="E21" s="91"/>
      <c r="F21" s="252"/>
      <c r="G21" s="77">
        <f t="shared" si="3"/>
        <v>0</v>
      </c>
      <c r="H21" s="351"/>
      <c r="I21" s="21" t="s">
        <v>89</v>
      </c>
      <c r="J21" s="53">
        <v>0.5</v>
      </c>
      <c r="K21" s="91" t="s">
        <v>23</v>
      </c>
      <c r="L21" s="91" t="s">
        <v>0</v>
      </c>
      <c r="M21" s="252"/>
      <c r="N21" s="77" t="e">
        <f t="shared" si="4"/>
        <v>#VALUE!</v>
      </c>
      <c r="O21" s="353"/>
      <c r="P21" s="155"/>
      <c r="Q21" s="155"/>
      <c r="R21" s="91"/>
      <c r="S21" s="91"/>
      <c r="T21" s="252"/>
      <c r="U21" s="145">
        <f t="shared" si="5"/>
        <v>0</v>
      </c>
      <c r="V21" s="267"/>
      <c r="W21" s="21" t="s">
        <v>70</v>
      </c>
      <c r="X21" s="21">
        <v>5</v>
      </c>
      <c r="Y21" s="75">
        <f>ROUND($AE$1*X21/1000,1)</f>
        <v>0.4</v>
      </c>
      <c r="Z21" s="75" t="s">
        <v>0</v>
      </c>
      <c r="AA21" s="252"/>
      <c r="AB21" s="77">
        <f t="shared" si="6"/>
        <v>0</v>
      </c>
      <c r="AC21" s="353"/>
      <c r="AD21" s="60" t="s">
        <v>47</v>
      </c>
      <c r="AE21" s="21">
        <v>150</v>
      </c>
      <c r="AF21" s="75">
        <f>ROUND($AE$1*AE21/1000,1)</f>
        <v>10.8</v>
      </c>
      <c r="AG21" s="75" t="s">
        <v>0</v>
      </c>
      <c r="AH21" s="252"/>
      <c r="AI21" s="77">
        <f t="shared" si="7"/>
        <v>0</v>
      </c>
      <c r="AM21" s="353"/>
      <c r="AN21" s="60"/>
      <c r="AO21" s="77"/>
      <c r="AP21" s="77"/>
      <c r="AQ21" s="77"/>
    </row>
    <row r="22" spans="1:43" s="50" customFormat="1" ht="18.75" customHeight="1">
      <c r="A22" s="353"/>
      <c r="B22" s="60" t="s">
        <v>232</v>
      </c>
      <c r="C22" s="77">
        <v>120</v>
      </c>
      <c r="D22" s="75">
        <f>ROUND($AE$1*C22/1000,0)</f>
        <v>9</v>
      </c>
      <c r="E22" s="77" t="s">
        <v>52</v>
      </c>
      <c r="F22" s="252"/>
      <c r="G22" s="77">
        <f t="shared" si="3"/>
        <v>0</v>
      </c>
      <c r="H22" s="351"/>
      <c r="I22" s="53" t="s">
        <v>199</v>
      </c>
      <c r="J22" s="53"/>
      <c r="K22" s="91">
        <v>0.1</v>
      </c>
      <c r="L22" s="91" t="s">
        <v>0</v>
      </c>
      <c r="M22" s="252"/>
      <c r="N22" s="77">
        <f t="shared" si="4"/>
        <v>0</v>
      </c>
      <c r="O22" s="353"/>
      <c r="P22" s="241" t="s">
        <v>232</v>
      </c>
      <c r="Q22" s="243">
        <v>120</v>
      </c>
      <c r="R22" s="244" t="s">
        <v>23</v>
      </c>
      <c r="S22" s="77" t="s">
        <v>52</v>
      </c>
      <c r="T22" s="252"/>
      <c r="U22" s="145" t="e">
        <f t="shared" si="5"/>
        <v>#VALUE!</v>
      </c>
      <c r="V22" s="267"/>
      <c r="W22" s="21" t="s">
        <v>160</v>
      </c>
      <c r="X22" s="21">
        <v>4</v>
      </c>
      <c r="Y22" s="75">
        <f>ROUND($AE$1*X22/1000,1)</f>
        <v>0.3</v>
      </c>
      <c r="Z22" s="74" t="s">
        <v>0</v>
      </c>
      <c r="AA22" s="143"/>
      <c r="AB22" s="77">
        <f t="shared" si="6"/>
        <v>0</v>
      </c>
      <c r="AC22" s="353"/>
      <c r="AD22" s="241" t="s">
        <v>232</v>
      </c>
      <c r="AE22" s="243">
        <v>120</v>
      </c>
      <c r="AF22" s="244" t="s">
        <v>23</v>
      </c>
      <c r="AG22" s="77" t="s">
        <v>52</v>
      </c>
      <c r="AH22" s="252"/>
      <c r="AI22" s="77" t="e">
        <f t="shared" si="7"/>
        <v>#VALUE!</v>
      </c>
      <c r="AM22" s="353"/>
      <c r="AN22" s="155"/>
      <c r="AO22" s="155"/>
      <c r="AP22" s="91"/>
      <c r="AQ22" s="94"/>
    </row>
    <row r="23" spans="1:43" s="50" customFormat="1" ht="18.75" customHeight="1">
      <c r="A23" s="353"/>
      <c r="B23" s="155"/>
      <c r="C23" s="155"/>
      <c r="D23" s="91"/>
      <c r="E23" s="91"/>
      <c r="F23" s="253"/>
      <c r="G23" s="77">
        <f t="shared" si="3"/>
        <v>0</v>
      </c>
      <c r="H23" s="351"/>
      <c r="I23" s="57" t="s">
        <v>107</v>
      </c>
      <c r="J23" s="57">
        <v>30</v>
      </c>
      <c r="K23" s="75">
        <f>ROUND($AE$1*J23/1000,1)</f>
        <v>2.2</v>
      </c>
      <c r="L23" s="94" t="s">
        <v>0</v>
      </c>
      <c r="M23" s="156"/>
      <c r="N23" s="77">
        <f t="shared" si="4"/>
        <v>0</v>
      </c>
      <c r="O23" s="353"/>
      <c r="P23" s="242" t="s">
        <v>247</v>
      </c>
      <c r="Q23" s="155"/>
      <c r="R23" s="91"/>
      <c r="S23" s="94"/>
      <c r="T23" s="253"/>
      <c r="U23" s="145">
        <f t="shared" si="5"/>
        <v>0</v>
      </c>
      <c r="V23" s="267"/>
      <c r="W23" s="21" t="s">
        <v>123</v>
      </c>
      <c r="X23" s="21">
        <v>13</v>
      </c>
      <c r="Y23" s="75">
        <v>2</v>
      </c>
      <c r="Z23" s="23" t="s">
        <v>161</v>
      </c>
      <c r="AA23" s="156"/>
      <c r="AB23" s="77">
        <f t="shared" si="6"/>
        <v>0</v>
      </c>
      <c r="AC23" s="353"/>
      <c r="AD23" s="242" t="s">
        <v>247</v>
      </c>
      <c r="AE23" s="155"/>
      <c r="AF23" s="91"/>
      <c r="AG23" s="94"/>
      <c r="AH23" s="253"/>
      <c r="AI23" s="77">
        <f t="shared" si="7"/>
        <v>0</v>
      </c>
      <c r="AM23" s="353"/>
      <c r="AN23" s="155"/>
      <c r="AO23" s="155"/>
      <c r="AP23" s="91"/>
      <c r="AQ23" s="94"/>
    </row>
    <row r="24" spans="1:43" s="50" customFormat="1" ht="18.75" customHeight="1">
      <c r="A24" s="353"/>
      <c r="B24" s="155"/>
      <c r="C24" s="155"/>
      <c r="D24" s="91"/>
      <c r="E24" s="91"/>
      <c r="F24" s="252"/>
      <c r="G24" s="77">
        <f t="shared" si="3"/>
        <v>0</v>
      </c>
      <c r="H24" s="351"/>
      <c r="I24" s="57"/>
      <c r="J24" s="57"/>
      <c r="K24" s="152"/>
      <c r="L24" s="154"/>
      <c r="M24" s="143"/>
      <c r="N24" s="77">
        <f t="shared" si="4"/>
        <v>0</v>
      </c>
      <c r="O24" s="353"/>
      <c r="P24" s="155"/>
      <c r="Q24" s="155"/>
      <c r="R24" s="91"/>
      <c r="S24" s="91"/>
      <c r="T24" s="252"/>
      <c r="U24" s="145">
        <f t="shared" si="5"/>
        <v>0</v>
      </c>
      <c r="V24" s="267"/>
      <c r="W24" s="167"/>
      <c r="X24" s="167"/>
      <c r="Y24" s="75"/>
      <c r="Z24" s="74"/>
      <c r="AA24" s="143"/>
      <c r="AB24" s="77">
        <f t="shared" si="6"/>
        <v>0</v>
      </c>
      <c r="AC24" s="353"/>
      <c r="AD24" s="155"/>
      <c r="AE24" s="155"/>
      <c r="AF24" s="91"/>
      <c r="AG24" s="94"/>
      <c r="AH24" s="143"/>
      <c r="AI24" s="77">
        <f t="shared" si="7"/>
        <v>0</v>
      </c>
      <c r="AM24" s="354"/>
      <c r="AN24" s="79"/>
      <c r="AO24" s="158"/>
      <c r="AP24" s="159"/>
      <c r="AQ24" s="160"/>
    </row>
    <row r="25" spans="1:50" s="50" customFormat="1" ht="18.75" customHeight="1" thickBot="1">
      <c r="A25" s="354"/>
      <c r="B25" s="79"/>
      <c r="C25" s="158"/>
      <c r="D25" s="159"/>
      <c r="E25" s="159"/>
      <c r="F25" s="254"/>
      <c r="G25" s="79">
        <f t="shared" si="3"/>
        <v>0</v>
      </c>
      <c r="H25" s="351"/>
      <c r="I25" s="57"/>
      <c r="J25" s="57"/>
      <c r="K25" s="162"/>
      <c r="L25" s="163"/>
      <c r="M25" s="161"/>
      <c r="N25" s="79">
        <f t="shared" si="4"/>
        <v>0</v>
      </c>
      <c r="O25" s="354"/>
      <c r="P25" s="79"/>
      <c r="Q25" s="158"/>
      <c r="R25" s="159"/>
      <c r="S25" s="159"/>
      <c r="T25" s="254"/>
      <c r="U25" s="255">
        <f t="shared" si="5"/>
        <v>0</v>
      </c>
      <c r="V25" s="323"/>
      <c r="W25" s="185"/>
      <c r="X25" s="185"/>
      <c r="Y25" s="124"/>
      <c r="Z25" s="125"/>
      <c r="AA25" s="161"/>
      <c r="AB25" s="79">
        <f t="shared" si="6"/>
        <v>0</v>
      </c>
      <c r="AC25" s="354"/>
      <c r="AD25" s="79"/>
      <c r="AE25" s="158"/>
      <c r="AF25" s="159"/>
      <c r="AG25" s="160"/>
      <c r="AH25" s="161"/>
      <c r="AI25" s="79">
        <f t="shared" si="7"/>
        <v>0</v>
      </c>
      <c r="AT25" s="303" t="s">
        <v>125</v>
      </c>
      <c r="AU25" s="144" t="s">
        <v>219</v>
      </c>
      <c r="AV25" s="144">
        <v>2.5</v>
      </c>
      <c r="AW25" s="75">
        <f>ROUND($AE$1*AV25,1)</f>
        <v>180</v>
      </c>
      <c r="AX25" s="145" t="s">
        <v>56</v>
      </c>
    </row>
    <row r="26" spans="1:50" s="40" customFormat="1" ht="18.75" customHeight="1">
      <c r="A26" s="305" t="s">
        <v>90</v>
      </c>
      <c r="B26" s="98" t="s">
        <v>91</v>
      </c>
      <c r="C26" s="282">
        <v>2.6</v>
      </c>
      <c r="D26" s="282"/>
      <c r="E26" s="283"/>
      <c r="F26" s="284" t="e">
        <f>SUM(#REF!)</f>
        <v>#REF!</v>
      </c>
      <c r="G26" s="284"/>
      <c r="H26" s="292" t="s">
        <v>90</v>
      </c>
      <c r="I26" s="98" t="s">
        <v>91</v>
      </c>
      <c r="J26" s="282">
        <v>2</v>
      </c>
      <c r="K26" s="282"/>
      <c r="L26" s="283"/>
      <c r="M26" s="284" t="e">
        <f>SUM(#REF!)</f>
        <v>#REF!</v>
      </c>
      <c r="N26" s="285"/>
      <c r="O26" s="310" t="s">
        <v>90</v>
      </c>
      <c r="P26" s="98" t="s">
        <v>91</v>
      </c>
      <c r="Q26" s="282">
        <v>2</v>
      </c>
      <c r="R26" s="282"/>
      <c r="S26" s="283"/>
      <c r="T26" s="330" t="e">
        <f>SUM(#REF!)</f>
        <v>#REF!</v>
      </c>
      <c r="U26" s="284"/>
      <c r="V26" s="292" t="s">
        <v>90</v>
      </c>
      <c r="W26" s="98" t="s">
        <v>91</v>
      </c>
      <c r="X26" s="282">
        <v>2</v>
      </c>
      <c r="Y26" s="282"/>
      <c r="Z26" s="283"/>
      <c r="AA26" s="284" t="e">
        <f>SUM(#REF!)</f>
        <v>#REF!</v>
      </c>
      <c r="AB26" s="284"/>
      <c r="AC26" s="292" t="s">
        <v>90</v>
      </c>
      <c r="AD26" s="98" t="s">
        <v>91</v>
      </c>
      <c r="AE26" s="282"/>
      <c r="AF26" s="282"/>
      <c r="AG26" s="308"/>
      <c r="AH26" s="328" t="e">
        <f>SUM(#REF!)</f>
        <v>#REF!</v>
      </c>
      <c r="AI26" s="329"/>
      <c r="AJ26" s="99">
        <f>(AE26+X26+Q26+J26+C26)/5</f>
        <v>1.72</v>
      </c>
      <c r="AT26" s="304"/>
      <c r="AU26" s="76" t="s">
        <v>109</v>
      </c>
      <c r="AV26" s="55">
        <v>133</v>
      </c>
      <c r="AW26" s="75">
        <v>4</v>
      </c>
      <c r="AX26" s="75" t="s">
        <v>52</v>
      </c>
    </row>
    <row r="27" spans="1:50" s="40" customFormat="1" ht="18.75" customHeight="1">
      <c r="A27" s="306"/>
      <c r="B27" s="100" t="s">
        <v>92</v>
      </c>
      <c r="C27" s="313">
        <v>0.7</v>
      </c>
      <c r="D27" s="313"/>
      <c r="E27" s="314"/>
      <c r="F27" s="101"/>
      <c r="G27" s="102"/>
      <c r="H27" s="293"/>
      <c r="I27" s="100" t="s">
        <v>92</v>
      </c>
      <c r="J27" s="313">
        <v>1</v>
      </c>
      <c r="K27" s="313"/>
      <c r="L27" s="314"/>
      <c r="M27" s="103"/>
      <c r="N27" s="102"/>
      <c r="O27" s="311"/>
      <c r="P27" s="100" t="s">
        <v>92</v>
      </c>
      <c r="Q27" s="313">
        <v>0.5</v>
      </c>
      <c r="R27" s="313"/>
      <c r="S27" s="314"/>
      <c r="T27" s="103"/>
      <c r="U27" s="104"/>
      <c r="V27" s="293"/>
      <c r="W27" s="100" t="s">
        <v>92</v>
      </c>
      <c r="X27" s="313">
        <v>0.6</v>
      </c>
      <c r="Y27" s="313"/>
      <c r="Z27" s="314"/>
      <c r="AA27" s="105"/>
      <c r="AB27" s="102"/>
      <c r="AC27" s="293"/>
      <c r="AD27" s="100" t="s">
        <v>92</v>
      </c>
      <c r="AE27" s="313"/>
      <c r="AF27" s="313"/>
      <c r="AG27" s="315"/>
      <c r="AH27" s="106"/>
      <c r="AI27" s="107"/>
      <c r="AJ27" s="99">
        <f aca="true" t="shared" si="8" ref="AJ27:AJ32">(AE27+X27+Q27+J27+C27)/5</f>
        <v>0.5599999999999999</v>
      </c>
      <c r="AM27" s="266" t="s">
        <v>217</v>
      </c>
      <c r="AN27" s="209"/>
      <c r="AO27" s="56"/>
      <c r="AP27" s="75"/>
      <c r="AQ27" s="94"/>
      <c r="AT27" s="304"/>
      <c r="AU27" s="56"/>
      <c r="AV27" s="56"/>
      <c r="AW27" s="91"/>
      <c r="AX27" s="94"/>
    </row>
    <row r="28" spans="1:50" s="40" customFormat="1" ht="18.75" customHeight="1">
      <c r="A28" s="306"/>
      <c r="B28" s="108" t="s">
        <v>95</v>
      </c>
      <c r="C28" s="313">
        <v>0.1</v>
      </c>
      <c r="D28" s="313"/>
      <c r="E28" s="314"/>
      <c r="F28" s="101"/>
      <c r="G28" s="102"/>
      <c r="H28" s="293"/>
      <c r="I28" s="108" t="s">
        <v>95</v>
      </c>
      <c r="J28" s="313">
        <v>0.6</v>
      </c>
      <c r="K28" s="313"/>
      <c r="L28" s="314"/>
      <c r="M28" s="103"/>
      <c r="N28" s="102"/>
      <c r="O28" s="311"/>
      <c r="P28" s="108" t="s">
        <v>95</v>
      </c>
      <c r="Q28" s="313">
        <v>0.5</v>
      </c>
      <c r="R28" s="313"/>
      <c r="S28" s="314"/>
      <c r="T28" s="103"/>
      <c r="U28" s="104"/>
      <c r="V28" s="293"/>
      <c r="W28" s="108" t="s">
        <v>95</v>
      </c>
      <c r="X28" s="313">
        <v>0.4</v>
      </c>
      <c r="Y28" s="313"/>
      <c r="Z28" s="314"/>
      <c r="AA28" s="105"/>
      <c r="AB28" s="102"/>
      <c r="AC28" s="293"/>
      <c r="AD28" s="108" t="s">
        <v>95</v>
      </c>
      <c r="AE28" s="313"/>
      <c r="AF28" s="313"/>
      <c r="AG28" s="315"/>
      <c r="AH28" s="106"/>
      <c r="AI28" s="107"/>
      <c r="AJ28" s="99">
        <f t="shared" si="8"/>
        <v>0.32</v>
      </c>
      <c r="AM28" s="267"/>
      <c r="AN28" s="210"/>
      <c r="AO28" s="77"/>
      <c r="AP28" s="75"/>
      <c r="AQ28" s="94"/>
      <c r="AT28" s="304"/>
      <c r="AU28" s="56"/>
      <c r="AV28" s="56"/>
      <c r="AW28" s="91"/>
      <c r="AX28" s="94"/>
    </row>
    <row r="29" spans="1:50" s="40" customFormat="1" ht="18.75" customHeight="1">
      <c r="A29" s="306"/>
      <c r="B29" s="109" t="s">
        <v>93</v>
      </c>
      <c r="C29" s="313">
        <v>0.5</v>
      </c>
      <c r="D29" s="313"/>
      <c r="E29" s="314"/>
      <c r="F29" s="101"/>
      <c r="G29" s="102"/>
      <c r="H29" s="293"/>
      <c r="I29" s="109" t="s">
        <v>93</v>
      </c>
      <c r="J29" s="313">
        <v>0.5</v>
      </c>
      <c r="K29" s="313"/>
      <c r="L29" s="314"/>
      <c r="M29" s="103"/>
      <c r="N29" s="102"/>
      <c r="O29" s="311"/>
      <c r="P29" s="109" t="s">
        <v>93</v>
      </c>
      <c r="Q29" s="313">
        <v>0.5</v>
      </c>
      <c r="R29" s="313"/>
      <c r="S29" s="314"/>
      <c r="T29" s="103"/>
      <c r="U29" s="104"/>
      <c r="V29" s="293"/>
      <c r="W29" s="109" t="s">
        <v>94</v>
      </c>
      <c r="X29" s="313">
        <v>0.5</v>
      </c>
      <c r="Y29" s="313"/>
      <c r="Z29" s="314"/>
      <c r="AA29" s="105"/>
      <c r="AB29" s="102"/>
      <c r="AC29" s="293"/>
      <c r="AD29" s="109" t="s">
        <v>94</v>
      </c>
      <c r="AE29" s="313"/>
      <c r="AF29" s="313"/>
      <c r="AG29" s="315"/>
      <c r="AH29" s="106"/>
      <c r="AI29" s="107"/>
      <c r="AJ29" s="99">
        <f t="shared" si="8"/>
        <v>0.4</v>
      </c>
      <c r="AM29" s="267"/>
      <c r="AN29" s="208"/>
      <c r="AO29" s="21"/>
      <c r="AP29" s="75"/>
      <c r="AQ29" s="74"/>
      <c r="AT29" s="304"/>
      <c r="AU29" s="56"/>
      <c r="AV29" s="56"/>
      <c r="AW29" s="147"/>
      <c r="AX29" s="21"/>
    </row>
    <row r="30" spans="1:50" s="40" customFormat="1" ht="18.75" customHeight="1">
      <c r="A30" s="306"/>
      <c r="B30" s="100" t="s">
        <v>96</v>
      </c>
      <c r="C30" s="313">
        <v>1</v>
      </c>
      <c r="D30" s="313"/>
      <c r="E30" s="314"/>
      <c r="F30" s="101"/>
      <c r="G30" s="102"/>
      <c r="H30" s="293"/>
      <c r="I30" s="100" t="s">
        <v>96</v>
      </c>
      <c r="J30" s="313">
        <v>0</v>
      </c>
      <c r="K30" s="313"/>
      <c r="L30" s="314"/>
      <c r="M30" s="103"/>
      <c r="N30" s="102"/>
      <c r="O30" s="311"/>
      <c r="P30" s="100" t="s">
        <v>96</v>
      </c>
      <c r="Q30" s="313">
        <v>1</v>
      </c>
      <c r="R30" s="313"/>
      <c r="S30" s="314"/>
      <c r="T30" s="103"/>
      <c r="U30" s="104"/>
      <c r="V30" s="293"/>
      <c r="W30" s="100" t="s">
        <v>96</v>
      </c>
      <c r="X30" s="313">
        <v>0</v>
      </c>
      <c r="Y30" s="313"/>
      <c r="Z30" s="314"/>
      <c r="AA30" s="105"/>
      <c r="AB30" s="102"/>
      <c r="AC30" s="293"/>
      <c r="AD30" s="100" t="s">
        <v>96</v>
      </c>
      <c r="AE30" s="313"/>
      <c r="AF30" s="313"/>
      <c r="AG30" s="315"/>
      <c r="AH30" s="106"/>
      <c r="AI30" s="107"/>
      <c r="AJ30" s="99">
        <f t="shared" si="8"/>
        <v>0.4</v>
      </c>
      <c r="AM30" s="267"/>
      <c r="AN30" s="211"/>
      <c r="AO30" s="21"/>
      <c r="AP30" s="75"/>
      <c r="AQ30" s="74"/>
      <c r="AT30" s="304"/>
      <c r="AU30" s="56"/>
      <c r="AV30" s="56"/>
      <c r="AW30" s="147"/>
      <c r="AX30" s="94"/>
    </row>
    <row r="31" spans="1:50" s="40" customFormat="1" ht="18.75" customHeight="1">
      <c r="A31" s="306"/>
      <c r="B31" s="100" t="s">
        <v>97</v>
      </c>
      <c r="C31" s="313">
        <v>0.6</v>
      </c>
      <c r="D31" s="313"/>
      <c r="E31" s="314"/>
      <c r="F31" s="101"/>
      <c r="G31" s="102"/>
      <c r="H31" s="293"/>
      <c r="I31" s="100" t="s">
        <v>97</v>
      </c>
      <c r="J31" s="313">
        <v>0.6</v>
      </c>
      <c r="K31" s="313"/>
      <c r="L31" s="314"/>
      <c r="M31" s="110"/>
      <c r="N31" s="102"/>
      <c r="O31" s="311"/>
      <c r="P31" s="100" t="s">
        <v>97</v>
      </c>
      <c r="Q31" s="313">
        <v>0.6</v>
      </c>
      <c r="R31" s="313"/>
      <c r="S31" s="314"/>
      <c r="T31" s="103"/>
      <c r="U31" s="104"/>
      <c r="V31" s="293"/>
      <c r="W31" s="100" t="s">
        <v>97</v>
      </c>
      <c r="X31" s="313">
        <v>0.4</v>
      </c>
      <c r="Y31" s="313"/>
      <c r="Z31" s="314"/>
      <c r="AA31" s="105"/>
      <c r="AB31" s="102"/>
      <c r="AC31" s="293"/>
      <c r="AD31" s="100" t="s">
        <v>97</v>
      </c>
      <c r="AE31" s="313"/>
      <c r="AF31" s="313"/>
      <c r="AG31" s="315"/>
      <c r="AH31" s="106"/>
      <c r="AI31" s="107"/>
      <c r="AJ31" s="99">
        <f t="shared" si="8"/>
        <v>0.44000000000000006</v>
      </c>
      <c r="AK31" s="40">
        <v>0.2</v>
      </c>
      <c r="AM31" s="267"/>
      <c r="AN31" s="211"/>
      <c r="AO31" s="21"/>
      <c r="AP31" s="75"/>
      <c r="AQ31" s="74"/>
      <c r="AT31" s="304"/>
      <c r="AU31" s="56"/>
      <c r="AV31" s="56"/>
      <c r="AW31" s="91"/>
      <c r="AX31" s="94"/>
    </row>
    <row r="32" spans="1:50" s="40" customFormat="1" ht="18.75" customHeight="1" thickBot="1">
      <c r="A32" s="307"/>
      <c r="B32" s="111" t="s">
        <v>98</v>
      </c>
      <c r="C32" s="316">
        <f>C26*70+C27*75+C28*25+C29*45+C31*120+C30*60</f>
        <v>391.5</v>
      </c>
      <c r="D32" s="316"/>
      <c r="E32" s="317"/>
      <c r="F32" s="112"/>
      <c r="G32" s="113"/>
      <c r="H32" s="294"/>
      <c r="I32" s="111" t="s">
        <v>98</v>
      </c>
      <c r="J32" s="316">
        <f>J26*70+J27*75+J28*25+J29*45+J31*120+J30*60</f>
        <v>324.5</v>
      </c>
      <c r="K32" s="316"/>
      <c r="L32" s="317"/>
      <c r="M32" s="114"/>
      <c r="N32" s="113"/>
      <c r="O32" s="312"/>
      <c r="P32" s="111" t="s">
        <v>98</v>
      </c>
      <c r="Q32" s="316">
        <f>Q26*70+Q27*75+Q28*25+Q29*45+Q31*120+Q30*60</f>
        <v>344.5</v>
      </c>
      <c r="R32" s="316"/>
      <c r="S32" s="317"/>
      <c r="T32" s="114"/>
      <c r="U32" s="115"/>
      <c r="V32" s="294"/>
      <c r="W32" s="111" t="s">
        <v>98</v>
      </c>
      <c r="X32" s="316">
        <f>X26*70+X27*75+X28*25+X29*45+X31*120+X30*60</f>
        <v>265.5</v>
      </c>
      <c r="Y32" s="316"/>
      <c r="Z32" s="317"/>
      <c r="AA32" s="116"/>
      <c r="AB32" s="113"/>
      <c r="AC32" s="294"/>
      <c r="AD32" s="111" t="s">
        <v>98</v>
      </c>
      <c r="AE32" s="316"/>
      <c r="AF32" s="316"/>
      <c r="AG32" s="318"/>
      <c r="AH32" s="117"/>
      <c r="AI32" s="118"/>
      <c r="AJ32" s="99">
        <f t="shared" si="8"/>
        <v>265.2</v>
      </c>
      <c r="AM32" s="267"/>
      <c r="AN32" s="208"/>
      <c r="AO32" s="21"/>
      <c r="AP32" s="75"/>
      <c r="AQ32" s="74"/>
      <c r="AT32" s="304"/>
      <c r="AU32" s="56"/>
      <c r="AV32" s="56"/>
      <c r="AW32" s="91"/>
      <c r="AX32" s="94"/>
    </row>
    <row r="33" spans="1:52" s="50" customFormat="1" ht="18.75" customHeight="1">
      <c r="A33" s="80"/>
      <c r="B33" s="81"/>
      <c r="C33" s="81"/>
      <c r="D33" s="119"/>
      <c r="E33" s="119"/>
      <c r="F33" s="82"/>
      <c r="G33" s="81"/>
      <c r="H33" s="83"/>
      <c r="I33" s="81"/>
      <c r="J33" s="81"/>
      <c r="K33" s="119"/>
      <c r="L33" s="119"/>
      <c r="M33" s="82"/>
      <c r="N33" s="81"/>
      <c r="O33" s="84"/>
      <c r="P33" s="80"/>
      <c r="Q33" s="80"/>
      <c r="R33" s="88"/>
      <c r="S33" s="88"/>
      <c r="T33" s="82"/>
      <c r="U33" s="81"/>
      <c r="V33" s="83"/>
      <c r="W33" s="80"/>
      <c r="X33" s="80"/>
      <c r="Y33" s="88"/>
      <c r="Z33" s="88"/>
      <c r="AA33" s="82"/>
      <c r="AB33" s="81"/>
      <c r="AC33" s="80"/>
      <c r="AD33" s="81"/>
      <c r="AE33" s="81"/>
      <c r="AF33" s="119"/>
      <c r="AG33" s="119"/>
      <c r="AH33" s="82"/>
      <c r="AI33" s="81"/>
      <c r="AJ33" s="82"/>
      <c r="AK33" s="81"/>
      <c r="AM33" s="267"/>
      <c r="AN33" s="208"/>
      <c r="AO33" s="21"/>
      <c r="AP33" s="75"/>
      <c r="AQ33" s="74"/>
      <c r="AT33" s="304"/>
      <c r="AU33" s="148"/>
      <c r="AV33" s="148"/>
      <c r="AW33" s="91"/>
      <c r="AX33" s="94"/>
      <c r="AY33" s="51"/>
      <c r="AZ33" s="52"/>
    </row>
    <row r="34" spans="1:63" s="50" customFormat="1" ht="19.5" customHeight="1">
      <c r="A34" s="279" t="s">
        <v>55</v>
      </c>
      <c r="B34" s="279"/>
      <c r="C34" s="279"/>
      <c r="D34" s="279"/>
      <c r="E34" s="279"/>
      <c r="F34" s="279"/>
      <c r="G34" s="279"/>
      <c r="H34" s="279"/>
      <c r="I34" s="279"/>
      <c r="J34" s="279"/>
      <c r="K34" s="279"/>
      <c r="L34" s="279"/>
      <c r="M34" s="279"/>
      <c r="N34" s="279"/>
      <c r="O34" s="279"/>
      <c r="P34" s="279"/>
      <c r="Q34" s="279"/>
      <c r="R34" s="279"/>
      <c r="S34" s="279"/>
      <c r="T34" s="279"/>
      <c r="U34" s="279"/>
      <c r="V34" s="279"/>
      <c r="W34" s="279"/>
      <c r="X34" s="279"/>
      <c r="Y34" s="279"/>
      <c r="Z34" s="279"/>
      <c r="AA34" s="279"/>
      <c r="AB34" s="279"/>
      <c r="AC34" s="279"/>
      <c r="AD34" s="279"/>
      <c r="AE34" s="279"/>
      <c r="AF34" s="279"/>
      <c r="AG34" s="279"/>
      <c r="AH34" s="279"/>
      <c r="AI34" s="120"/>
      <c r="AJ34" s="120"/>
      <c r="AK34" s="63"/>
      <c r="AL34" s="64"/>
      <c r="AM34" s="267"/>
      <c r="AN34" s="212"/>
      <c r="AO34" s="21"/>
      <c r="AP34" s="75"/>
      <c r="AQ34" s="74"/>
      <c r="AR34" s="65"/>
      <c r="AS34" s="65"/>
      <c r="AT34" s="304"/>
      <c r="AU34" s="148"/>
      <c r="AV34" s="148"/>
      <c r="AW34" s="91"/>
      <c r="AX34" s="94"/>
      <c r="AY34" s="51"/>
      <c r="AZ34" s="52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</row>
    <row r="35" spans="1:63" s="50" customFormat="1" ht="22.5" customHeight="1">
      <c r="A35" s="299" t="s">
        <v>67</v>
      </c>
      <c r="B35" s="299"/>
      <c r="C35" s="299"/>
      <c r="D35" s="299"/>
      <c r="E35" s="299"/>
      <c r="F35" s="299"/>
      <c r="G35" s="299"/>
      <c r="H35" s="299"/>
      <c r="I35" s="299"/>
      <c r="J35" s="299"/>
      <c r="K35" s="299"/>
      <c r="L35" s="299"/>
      <c r="M35" s="299"/>
      <c r="N35" s="299"/>
      <c r="O35" s="299"/>
      <c r="P35" s="299"/>
      <c r="Q35" s="299"/>
      <c r="R35" s="299"/>
      <c r="S35" s="299"/>
      <c r="T35" s="299"/>
      <c r="U35" s="299"/>
      <c r="V35" s="299"/>
      <c r="W35" s="299"/>
      <c r="X35" s="299"/>
      <c r="Y35" s="299"/>
      <c r="Z35" s="299"/>
      <c r="AA35" s="299"/>
      <c r="AB35" s="299"/>
      <c r="AC35" s="299"/>
      <c r="AD35" s="299"/>
      <c r="AE35" s="299"/>
      <c r="AF35" s="299"/>
      <c r="AG35" s="299"/>
      <c r="AH35" s="299"/>
      <c r="AI35" s="121"/>
      <c r="AJ35" s="121"/>
      <c r="AK35" s="65"/>
      <c r="AL35" s="66"/>
      <c r="AM35" s="267"/>
      <c r="AN35" s="213"/>
      <c r="AO35" s="21"/>
      <c r="AP35" s="75"/>
      <c r="AQ35" s="74"/>
      <c r="AR35" s="65"/>
      <c r="AS35" s="65"/>
      <c r="AT35" s="346"/>
      <c r="AU35" s="56"/>
      <c r="AV35" s="56"/>
      <c r="AW35" s="91"/>
      <c r="AX35" s="94"/>
      <c r="AY35" s="51"/>
      <c r="AZ35" s="52">
        <f>AW35*AY35</f>
        <v>0</v>
      </c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</row>
    <row r="36" spans="39:43" ht="22.5" customHeight="1">
      <c r="AM36" s="267"/>
      <c r="AN36" s="77"/>
      <c r="AO36" s="58"/>
      <c r="AP36" s="164"/>
      <c r="AQ36" s="74"/>
    </row>
    <row r="37" spans="39:43" ht="22.5" customHeight="1">
      <c r="AM37" s="326"/>
      <c r="AN37" s="208"/>
      <c r="AO37" s="21"/>
      <c r="AP37" s="124"/>
      <c r="AQ37" s="125"/>
    </row>
    <row r="38" spans="39:43" ht="22.5" customHeight="1">
      <c r="AM38" s="265" t="s">
        <v>42</v>
      </c>
      <c r="AN38" s="265"/>
      <c r="AO38" s="265"/>
      <c r="AP38" s="265"/>
      <c r="AQ38" s="265"/>
    </row>
    <row r="39" spans="39:43" ht="22.5" customHeight="1">
      <c r="AM39" s="275" t="s">
        <v>217</v>
      </c>
      <c r="AN39" s="60"/>
      <c r="AO39" s="52"/>
      <c r="AP39" s="52"/>
      <c r="AQ39" s="61"/>
    </row>
    <row r="40" spans="39:43" ht="22.5" customHeight="1">
      <c r="AM40" s="275"/>
      <c r="AN40" s="60"/>
      <c r="AO40" s="52"/>
      <c r="AP40" s="75"/>
      <c r="AQ40" s="61"/>
    </row>
    <row r="41" spans="39:43" ht="22.5" customHeight="1">
      <c r="AM41" s="275"/>
      <c r="AN41" s="27"/>
      <c r="AO41" s="27"/>
      <c r="AP41" s="165"/>
      <c r="AQ41" s="74"/>
    </row>
    <row r="42" spans="39:43" ht="22.5" customHeight="1">
      <c r="AM42" s="275"/>
      <c r="AN42" s="27"/>
      <c r="AO42" s="62"/>
      <c r="AP42" s="75"/>
      <c r="AQ42" s="74"/>
    </row>
    <row r="43" spans="39:43" ht="22.5" customHeight="1">
      <c r="AM43" s="275"/>
      <c r="AN43" s="62"/>
      <c r="AO43" s="62"/>
      <c r="AP43" s="75"/>
      <c r="AQ43" s="23"/>
    </row>
    <row r="44" spans="39:43" ht="22.5" customHeight="1">
      <c r="AM44" s="275"/>
      <c r="AN44" s="97"/>
      <c r="AO44" s="97"/>
      <c r="AP44" s="75"/>
      <c r="AQ44" s="168"/>
    </row>
    <row r="45" spans="39:43" ht="22.5" customHeight="1">
      <c r="AM45" s="275"/>
      <c r="AN45" s="205"/>
      <c r="AO45" s="206"/>
      <c r="AP45" s="206"/>
      <c r="AQ45" s="207"/>
    </row>
    <row r="46" spans="39:43" ht="22.5" customHeight="1" thickBot="1">
      <c r="AM46" s="276"/>
      <c r="AN46" s="366"/>
      <c r="AO46" s="367"/>
      <c r="AP46" s="367"/>
      <c r="AQ46" s="368"/>
    </row>
    <row r="47" spans="39:43" ht="22.5" customHeight="1">
      <c r="AM47" s="292" t="s">
        <v>90</v>
      </c>
      <c r="AN47" s="98" t="s">
        <v>91</v>
      </c>
      <c r="AO47" s="282"/>
      <c r="AP47" s="282"/>
      <c r="AQ47" s="308"/>
    </row>
    <row r="48" spans="39:43" ht="22.5" customHeight="1">
      <c r="AM48" s="293"/>
      <c r="AN48" s="100" t="s">
        <v>92</v>
      </c>
      <c r="AO48" s="313"/>
      <c r="AP48" s="313"/>
      <c r="AQ48" s="315"/>
    </row>
    <row r="49" spans="39:43" ht="22.5" customHeight="1">
      <c r="AM49" s="293"/>
      <c r="AN49" s="108" t="s">
        <v>95</v>
      </c>
      <c r="AO49" s="313"/>
      <c r="AP49" s="313"/>
      <c r="AQ49" s="315"/>
    </row>
    <row r="50" spans="39:43" ht="22.5" customHeight="1">
      <c r="AM50" s="293"/>
      <c r="AN50" s="109" t="s">
        <v>94</v>
      </c>
      <c r="AO50" s="313"/>
      <c r="AP50" s="313"/>
      <c r="AQ50" s="315"/>
    </row>
    <row r="51" spans="39:43" ht="22.5" customHeight="1">
      <c r="AM51" s="293"/>
      <c r="AN51" s="100" t="s">
        <v>96</v>
      </c>
      <c r="AO51" s="313"/>
      <c r="AP51" s="313"/>
      <c r="AQ51" s="315"/>
    </row>
    <row r="52" spans="39:43" ht="22.5" customHeight="1">
      <c r="AM52" s="293"/>
      <c r="AN52" s="100" t="s">
        <v>97</v>
      </c>
      <c r="AO52" s="313"/>
      <c r="AP52" s="313"/>
      <c r="AQ52" s="315"/>
    </row>
    <row r="53" spans="39:43" ht="22.5" customHeight="1" thickBot="1">
      <c r="AM53" s="294"/>
      <c r="AN53" s="111" t="s">
        <v>98</v>
      </c>
      <c r="AO53" s="316"/>
      <c r="AP53" s="316"/>
      <c r="AQ53" s="318"/>
    </row>
  </sheetData>
  <sheetProtection selectLockedCells="1" selectUnlockedCells="1"/>
  <mergeCells count="100">
    <mergeCell ref="AT25:AT35"/>
    <mergeCell ref="AO52:AQ52"/>
    <mergeCell ref="AO53:AQ53"/>
    <mergeCell ref="A1:L1"/>
    <mergeCell ref="AM27:AM37"/>
    <mergeCell ref="AM38:AQ38"/>
    <mergeCell ref="AM39:AM46"/>
    <mergeCell ref="AN46:AQ46"/>
    <mergeCell ref="AM47:AM53"/>
    <mergeCell ref="AO47:AQ47"/>
    <mergeCell ref="AO48:AQ48"/>
    <mergeCell ref="AO49:AQ49"/>
    <mergeCell ref="AO50:AQ50"/>
    <mergeCell ref="AO51:AQ51"/>
    <mergeCell ref="AM5:AM15"/>
    <mergeCell ref="AM16:AQ16"/>
    <mergeCell ref="AM17:AM24"/>
    <mergeCell ref="C32:E32"/>
    <mergeCell ref="J32:L32"/>
    <mergeCell ref="Q32:S32"/>
    <mergeCell ref="A34:AH34"/>
    <mergeCell ref="A35:AH35"/>
    <mergeCell ref="C31:E31"/>
    <mergeCell ref="J31:L31"/>
    <mergeCell ref="Q31:S31"/>
    <mergeCell ref="X31:Z31"/>
    <mergeCell ref="AE31:AG31"/>
    <mergeCell ref="X29:Z29"/>
    <mergeCell ref="AE29:AG29"/>
    <mergeCell ref="C29:E29"/>
    <mergeCell ref="J29:L29"/>
    <mergeCell ref="Q29:S29"/>
    <mergeCell ref="C30:E30"/>
    <mergeCell ref="J30:L30"/>
    <mergeCell ref="Q30:S30"/>
    <mergeCell ref="V26:V32"/>
    <mergeCell ref="C27:E27"/>
    <mergeCell ref="C28:E28"/>
    <mergeCell ref="J28:L28"/>
    <mergeCell ref="Q28:S28"/>
    <mergeCell ref="X28:Z28"/>
    <mergeCell ref="AE28:AG28"/>
    <mergeCell ref="J27:L27"/>
    <mergeCell ref="Q27:S27"/>
    <mergeCell ref="X26:Z26"/>
    <mergeCell ref="AA26:AB26"/>
    <mergeCell ref="AC26:AC32"/>
    <mergeCell ref="AE26:AG26"/>
    <mergeCell ref="X30:Z30"/>
    <mergeCell ref="AE30:AG30"/>
    <mergeCell ref="X32:Z32"/>
    <mergeCell ref="AE32:AG32"/>
    <mergeCell ref="AE27:AG27"/>
    <mergeCell ref="X27:Z27"/>
    <mergeCell ref="AH26:AI26"/>
    <mergeCell ref="A26:A32"/>
    <mergeCell ref="C26:E26"/>
    <mergeCell ref="F26:G26"/>
    <mergeCell ref="H26:H32"/>
    <mergeCell ref="J26:L26"/>
    <mergeCell ref="M26:N26"/>
    <mergeCell ref="O26:O32"/>
    <mergeCell ref="Q26:S26"/>
    <mergeCell ref="T26:U26"/>
    <mergeCell ref="B2:E2"/>
    <mergeCell ref="I4:L4"/>
    <mergeCell ref="H6:H16"/>
    <mergeCell ref="V2:V4"/>
    <mergeCell ref="W2:Z2"/>
    <mergeCell ref="O6:O16"/>
    <mergeCell ref="V5:Z5"/>
    <mergeCell ref="O2:O4"/>
    <mergeCell ref="H2:H4"/>
    <mergeCell ref="I2:L2"/>
    <mergeCell ref="AC18:AC25"/>
    <mergeCell ref="A17:E17"/>
    <mergeCell ref="AE1:AG1"/>
    <mergeCell ref="A5:E5"/>
    <mergeCell ref="H5:L5"/>
    <mergeCell ref="O5:S5"/>
    <mergeCell ref="AC2:AC4"/>
    <mergeCell ref="P4:S4"/>
    <mergeCell ref="W4:Z4"/>
    <mergeCell ref="A18:A25"/>
    <mergeCell ref="H18:H25"/>
    <mergeCell ref="O18:O25"/>
    <mergeCell ref="V18:V25"/>
    <mergeCell ref="V17:Z17"/>
    <mergeCell ref="O17:S17"/>
    <mergeCell ref="H17:L17"/>
    <mergeCell ref="AC17:AG17"/>
    <mergeCell ref="A2:A4"/>
    <mergeCell ref="P2:S2"/>
    <mergeCell ref="AD2:AG2"/>
    <mergeCell ref="AD4:AG4"/>
    <mergeCell ref="A6:A16"/>
    <mergeCell ref="AC5:AG5"/>
    <mergeCell ref="AC6:AC16"/>
    <mergeCell ref="V6:V16"/>
    <mergeCell ref="B4:E4"/>
  </mergeCells>
  <printOptions/>
  <pageMargins left="0.2362204724409449" right="0.15748031496062992" top="0.15748031496062992" bottom="0.1968503937007874" header="0.5118110236220472" footer="0.511811023622047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/>
  </sheetPr>
  <dimension ref="A1:BE35"/>
  <sheetViews>
    <sheetView view="pageBreakPreview" zoomScale="80" zoomScaleSheetLayoutView="80" zoomScalePageLayoutView="0" workbookViewId="0" topLeftCell="A1">
      <selection activeCell="AD22" sqref="AD22:AG23"/>
    </sheetView>
  </sheetViews>
  <sheetFormatPr defaultColWidth="6.125" defaultRowHeight="16.5"/>
  <cols>
    <col min="1" max="1" width="3.75390625" style="67" customWidth="1"/>
    <col min="2" max="2" width="18.375" style="68" customWidth="1"/>
    <col min="3" max="3" width="6.125" style="68" customWidth="1"/>
    <col min="4" max="5" width="5.625" style="68" customWidth="1"/>
    <col min="6" max="6" width="6.125" style="69" customWidth="1"/>
    <col min="7" max="7" width="6.125" style="70" customWidth="1"/>
    <col min="8" max="8" width="3.625" style="67" customWidth="1"/>
    <col min="9" max="9" width="18.625" style="68" customWidth="1"/>
    <col min="10" max="10" width="6.125" style="68" customWidth="1"/>
    <col min="11" max="12" width="5.625" style="68" customWidth="1"/>
    <col min="13" max="13" width="6.125" style="69" customWidth="1"/>
    <col min="14" max="14" width="6.125" style="70" customWidth="1"/>
    <col min="15" max="15" width="3.875" style="67" customWidth="1"/>
    <col min="16" max="16" width="19.125" style="68" customWidth="1"/>
    <col min="17" max="17" width="6.125" style="68" customWidth="1"/>
    <col min="18" max="19" width="5.625" style="68" customWidth="1"/>
    <col min="20" max="20" width="6.125" style="69" customWidth="1"/>
    <col min="21" max="21" width="6.125" style="70" customWidth="1"/>
    <col min="22" max="22" width="3.625" style="71" customWidth="1"/>
    <col min="23" max="23" width="16.125" style="68" customWidth="1"/>
    <col min="24" max="24" width="6.125" style="68" customWidth="1"/>
    <col min="25" max="26" width="5.625" style="68" customWidth="1"/>
    <col min="27" max="27" width="6.125" style="69" customWidth="1"/>
    <col min="28" max="28" width="6.125" style="70" customWidth="1"/>
    <col min="29" max="29" width="4.125" style="67" customWidth="1"/>
    <col min="30" max="30" width="16.125" style="68" customWidth="1"/>
    <col min="31" max="31" width="6.125" style="68" customWidth="1"/>
    <col min="32" max="33" width="4.00390625" style="68" customWidth="1"/>
    <col min="34" max="34" width="6.125" style="72" customWidth="1"/>
    <col min="35" max="35" width="6.125" style="70" customWidth="1"/>
    <col min="36" max="36" width="4.125" style="67" hidden="1" customWidth="1"/>
    <col min="37" max="37" width="17.625" style="68" hidden="1" customWidth="1"/>
    <col min="38" max="38" width="6.125" style="68" hidden="1" customWidth="1"/>
    <col min="39" max="40" width="5.625" style="68" hidden="1" customWidth="1"/>
    <col min="41" max="41" width="6.125" style="70" hidden="1" customWidth="1"/>
    <col min="42" max="42" width="6.125" style="73" hidden="1" customWidth="1"/>
    <col min="43" max="43" width="7.50390625" style="73" bestFit="1" customWidth="1"/>
    <col min="44" max="16384" width="6.125" style="73" customWidth="1"/>
  </cols>
  <sheetData>
    <row r="1" spans="1:42" s="90" customFormat="1" ht="30" customHeight="1">
      <c r="A1" s="322" t="s">
        <v>233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230">
        <f>'[1]第五周'!$O$1</f>
        <v>6</v>
      </c>
      <c r="N1" s="231"/>
      <c r="O1" s="232">
        <f>'第三周 '!O1+1</f>
        <v>17</v>
      </c>
      <c r="P1" s="233" t="s">
        <v>222</v>
      </c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  <c r="AC1" s="233"/>
      <c r="AD1" s="233"/>
      <c r="AE1" s="89">
        <v>72</v>
      </c>
      <c r="AF1" s="89">
        <v>72</v>
      </c>
      <c r="AG1" s="89"/>
      <c r="AH1" s="89"/>
      <c r="AI1" s="89"/>
      <c r="AL1" s="89"/>
      <c r="AM1" s="89"/>
      <c r="AN1" s="89"/>
      <c r="AO1" s="89"/>
      <c r="AP1" s="29"/>
    </row>
    <row r="2" spans="1:42" s="40" customFormat="1" ht="18.75" customHeight="1">
      <c r="A2" s="278" t="s">
        <v>27</v>
      </c>
      <c r="B2" s="325">
        <f>'第三周 '!B2:E2+7</f>
        <v>44914</v>
      </c>
      <c r="C2" s="325"/>
      <c r="D2" s="325"/>
      <c r="E2" s="325"/>
      <c r="F2" s="30"/>
      <c r="G2" s="31"/>
      <c r="H2" s="278" t="s">
        <v>27</v>
      </c>
      <c r="I2" s="298">
        <f>B2+1</f>
        <v>44915</v>
      </c>
      <c r="J2" s="298"/>
      <c r="K2" s="298"/>
      <c r="L2" s="298"/>
      <c r="M2" s="32"/>
      <c r="N2" s="33"/>
      <c r="O2" s="290" t="s">
        <v>27</v>
      </c>
      <c r="P2" s="289">
        <f>I2+1</f>
        <v>44916</v>
      </c>
      <c r="Q2" s="289"/>
      <c r="R2" s="289"/>
      <c r="S2" s="289"/>
      <c r="T2" s="34"/>
      <c r="U2" s="35"/>
      <c r="V2" s="290" t="s">
        <v>27</v>
      </c>
      <c r="W2" s="291">
        <f>P2+1</f>
        <v>44917</v>
      </c>
      <c r="X2" s="291"/>
      <c r="Y2" s="291"/>
      <c r="Z2" s="291"/>
      <c r="AA2" s="36"/>
      <c r="AB2" s="37"/>
      <c r="AC2" s="290" t="s">
        <v>27</v>
      </c>
      <c r="AD2" s="263">
        <f>W2+1</f>
        <v>44918</v>
      </c>
      <c r="AE2" s="263"/>
      <c r="AF2" s="263"/>
      <c r="AG2" s="263"/>
      <c r="AH2" s="38"/>
      <c r="AI2" s="39"/>
      <c r="AJ2" s="290" t="s">
        <v>27</v>
      </c>
      <c r="AK2" s="372">
        <f>AD2+1</f>
        <v>44919</v>
      </c>
      <c r="AL2" s="373"/>
      <c r="AM2" s="373"/>
      <c r="AN2" s="374"/>
      <c r="AO2" s="38"/>
      <c r="AP2" s="39"/>
    </row>
    <row r="3" spans="1:42" s="40" customFormat="1" ht="18.75" customHeight="1">
      <c r="A3" s="278"/>
      <c r="B3" s="41" t="s">
        <v>28</v>
      </c>
      <c r="C3" s="41" t="s">
        <v>29</v>
      </c>
      <c r="D3" s="42" t="s">
        <v>30</v>
      </c>
      <c r="E3" s="42" t="s">
        <v>31</v>
      </c>
      <c r="F3" s="43" t="s">
        <v>32</v>
      </c>
      <c r="G3" s="41" t="s">
        <v>33</v>
      </c>
      <c r="H3" s="278"/>
      <c r="I3" s="41" t="s">
        <v>28</v>
      </c>
      <c r="J3" s="41" t="s">
        <v>29</v>
      </c>
      <c r="K3" s="42" t="s">
        <v>30</v>
      </c>
      <c r="L3" s="42" t="s">
        <v>31</v>
      </c>
      <c r="M3" s="43" t="s">
        <v>32</v>
      </c>
      <c r="N3" s="44" t="s">
        <v>33</v>
      </c>
      <c r="O3" s="290"/>
      <c r="P3" s="41" t="s">
        <v>28</v>
      </c>
      <c r="Q3" s="41" t="s">
        <v>29</v>
      </c>
      <c r="R3" s="42" t="s">
        <v>30</v>
      </c>
      <c r="S3" s="42" t="s">
        <v>31</v>
      </c>
      <c r="T3" s="43" t="s">
        <v>32</v>
      </c>
      <c r="U3" s="44" t="s">
        <v>33</v>
      </c>
      <c r="V3" s="290"/>
      <c r="W3" s="41" t="s">
        <v>28</v>
      </c>
      <c r="X3" s="41" t="s">
        <v>29</v>
      </c>
      <c r="Y3" s="42" t="s">
        <v>30</v>
      </c>
      <c r="Z3" s="42" t="s">
        <v>31</v>
      </c>
      <c r="AA3" s="43" t="s">
        <v>32</v>
      </c>
      <c r="AB3" s="44" t="s">
        <v>33</v>
      </c>
      <c r="AC3" s="290"/>
      <c r="AD3" s="41" t="s">
        <v>28</v>
      </c>
      <c r="AE3" s="41" t="s">
        <v>29</v>
      </c>
      <c r="AF3" s="42" t="s">
        <v>30</v>
      </c>
      <c r="AG3" s="42" t="s">
        <v>31</v>
      </c>
      <c r="AH3" s="43" t="s">
        <v>32</v>
      </c>
      <c r="AI3" s="44" t="s">
        <v>33</v>
      </c>
      <c r="AJ3" s="290"/>
      <c r="AK3" s="41" t="s">
        <v>28</v>
      </c>
      <c r="AL3" s="41" t="s">
        <v>29</v>
      </c>
      <c r="AM3" s="42" t="s">
        <v>30</v>
      </c>
      <c r="AN3" s="42" t="s">
        <v>31</v>
      </c>
      <c r="AO3" s="43" t="s">
        <v>32</v>
      </c>
      <c r="AP3" s="44" t="s">
        <v>33</v>
      </c>
    </row>
    <row r="4" spans="1:42" s="50" customFormat="1" ht="18.75" customHeight="1" hidden="1">
      <c r="A4" s="278"/>
      <c r="B4" s="262" t="s">
        <v>34</v>
      </c>
      <c r="C4" s="262"/>
      <c r="D4" s="262"/>
      <c r="E4" s="262"/>
      <c r="F4" s="45"/>
      <c r="G4" s="46"/>
      <c r="H4" s="278"/>
      <c r="I4" s="262" t="s">
        <v>35</v>
      </c>
      <c r="J4" s="262"/>
      <c r="K4" s="262"/>
      <c r="L4" s="262"/>
      <c r="M4" s="45"/>
      <c r="N4" s="47"/>
      <c r="O4" s="290"/>
      <c r="P4" s="262" t="s">
        <v>36</v>
      </c>
      <c r="Q4" s="262"/>
      <c r="R4" s="262"/>
      <c r="S4" s="262"/>
      <c r="T4" s="43"/>
      <c r="U4" s="48"/>
      <c r="V4" s="290"/>
      <c r="W4" s="262" t="s">
        <v>37</v>
      </c>
      <c r="X4" s="262"/>
      <c r="Y4" s="262"/>
      <c r="Z4" s="262"/>
      <c r="AA4" s="45"/>
      <c r="AB4" s="47"/>
      <c r="AC4" s="290"/>
      <c r="AD4" s="270" t="s">
        <v>38</v>
      </c>
      <c r="AE4" s="270"/>
      <c r="AF4" s="270"/>
      <c r="AG4" s="270"/>
      <c r="AH4" s="49"/>
      <c r="AI4" s="47"/>
      <c r="AJ4" s="290"/>
      <c r="AK4" s="270" t="s">
        <v>38</v>
      </c>
      <c r="AL4" s="270"/>
      <c r="AM4" s="270"/>
      <c r="AN4" s="270"/>
      <c r="AO4" s="49"/>
      <c r="AP4" s="47"/>
    </row>
    <row r="5" spans="1:42" s="50" customFormat="1" ht="18.75" customHeight="1">
      <c r="A5" s="277" t="s">
        <v>39</v>
      </c>
      <c r="B5" s="273"/>
      <c r="C5" s="273"/>
      <c r="D5" s="273"/>
      <c r="E5" s="273"/>
      <c r="F5" s="85"/>
      <c r="G5" s="86"/>
      <c r="H5" s="277" t="s">
        <v>39</v>
      </c>
      <c r="I5" s="273"/>
      <c r="J5" s="273"/>
      <c r="K5" s="273"/>
      <c r="L5" s="273"/>
      <c r="M5" s="85"/>
      <c r="N5" s="87"/>
      <c r="O5" s="272" t="s">
        <v>39</v>
      </c>
      <c r="P5" s="273"/>
      <c r="Q5" s="273"/>
      <c r="R5" s="273"/>
      <c r="S5" s="273"/>
      <c r="T5" s="85"/>
      <c r="U5" s="87"/>
      <c r="V5" s="272" t="s">
        <v>39</v>
      </c>
      <c r="W5" s="273"/>
      <c r="X5" s="273"/>
      <c r="Y5" s="273"/>
      <c r="Z5" s="273"/>
      <c r="AA5" s="85"/>
      <c r="AB5" s="87"/>
      <c r="AC5" s="272" t="s">
        <v>39</v>
      </c>
      <c r="AD5" s="273"/>
      <c r="AE5" s="273"/>
      <c r="AF5" s="273"/>
      <c r="AG5" s="273"/>
      <c r="AH5" s="45"/>
      <c r="AI5" s="47"/>
      <c r="AJ5" s="272" t="s">
        <v>39</v>
      </c>
      <c r="AK5" s="273"/>
      <c r="AL5" s="273"/>
      <c r="AM5" s="273"/>
      <c r="AN5" s="273"/>
      <c r="AO5" s="45"/>
      <c r="AP5" s="47"/>
    </row>
    <row r="6" spans="1:51" s="50" customFormat="1" ht="18.75" customHeight="1">
      <c r="A6" s="303" t="s">
        <v>265</v>
      </c>
      <c r="B6" s="184" t="s">
        <v>230</v>
      </c>
      <c r="C6" s="184">
        <v>1</v>
      </c>
      <c r="D6" s="75">
        <v>60</v>
      </c>
      <c r="E6" s="74" t="s">
        <v>59</v>
      </c>
      <c r="F6" s="157"/>
      <c r="G6" s="52">
        <f>D6*F6</f>
        <v>0</v>
      </c>
      <c r="H6" s="266" t="s">
        <v>149</v>
      </c>
      <c r="I6" s="56" t="s">
        <v>13</v>
      </c>
      <c r="J6" s="21">
        <v>48.5</v>
      </c>
      <c r="K6" s="75">
        <f>ROUND($AE$1*J6/1000,0)</f>
        <v>3</v>
      </c>
      <c r="L6" s="74" t="s">
        <v>0</v>
      </c>
      <c r="M6" s="157"/>
      <c r="N6" s="52">
        <f>K6*M6</f>
        <v>0</v>
      </c>
      <c r="O6" s="266" t="s">
        <v>143</v>
      </c>
      <c r="P6" s="53" t="s">
        <v>148</v>
      </c>
      <c r="Q6" s="53">
        <v>20</v>
      </c>
      <c r="R6" s="75" t="s">
        <v>23</v>
      </c>
      <c r="S6" s="75" t="s">
        <v>0</v>
      </c>
      <c r="T6" s="157"/>
      <c r="U6" s="52" t="e">
        <f>R6*T6</f>
        <v>#VALUE!</v>
      </c>
      <c r="V6" s="266" t="s">
        <v>278</v>
      </c>
      <c r="W6" s="53" t="s">
        <v>270</v>
      </c>
      <c r="X6" s="257">
        <v>13.8</v>
      </c>
      <c r="Y6" s="75">
        <f>ROUND($AE$1*X6/250,1)</f>
        <v>4</v>
      </c>
      <c r="Z6" s="75" t="s">
        <v>22</v>
      </c>
      <c r="AA6" s="157"/>
      <c r="AB6" s="52">
        <f>Y6*AA6</f>
        <v>0</v>
      </c>
      <c r="AC6" s="276" t="s">
        <v>200</v>
      </c>
      <c r="AD6" s="21" t="s">
        <v>40</v>
      </c>
      <c r="AE6" s="21">
        <v>10</v>
      </c>
      <c r="AF6" s="164">
        <f>ROUND($AE$1*AE6/1000,1)</f>
        <v>0.7</v>
      </c>
      <c r="AG6" s="123" t="s">
        <v>0</v>
      </c>
      <c r="AH6" s="157"/>
      <c r="AI6" s="48">
        <f>AF6*AH6</f>
        <v>0</v>
      </c>
      <c r="AJ6" s="276" t="s">
        <v>101</v>
      </c>
      <c r="AK6" s="21" t="s">
        <v>40</v>
      </c>
      <c r="AL6" s="21">
        <v>8</v>
      </c>
      <c r="AM6" s="75">
        <v>1</v>
      </c>
      <c r="AN6" s="74" t="s">
        <v>0</v>
      </c>
      <c r="AO6" s="190">
        <v>51</v>
      </c>
      <c r="AP6" s="21"/>
      <c r="AU6" s="303" t="s">
        <v>229</v>
      </c>
      <c r="AV6" s="184" t="s">
        <v>230</v>
      </c>
      <c r="AW6" s="184">
        <v>1</v>
      </c>
      <c r="AX6" s="75">
        <v>60</v>
      </c>
      <c r="AY6" s="74" t="s">
        <v>59</v>
      </c>
    </row>
    <row r="7" spans="1:51" s="50" customFormat="1" ht="18.75" customHeight="1">
      <c r="A7" s="304"/>
      <c r="B7" s="184" t="s">
        <v>231</v>
      </c>
      <c r="C7" s="21"/>
      <c r="D7" s="124"/>
      <c r="E7" s="125"/>
      <c r="F7" s="157"/>
      <c r="G7" s="52"/>
      <c r="H7" s="267"/>
      <c r="I7" s="21" t="s">
        <v>152</v>
      </c>
      <c r="J7" s="21">
        <v>10</v>
      </c>
      <c r="K7" s="75" t="s">
        <v>23</v>
      </c>
      <c r="L7" s="74" t="s">
        <v>0</v>
      </c>
      <c r="M7" s="157"/>
      <c r="N7" s="52" t="e">
        <f aca="true" t="shared" si="0" ref="N7:N16">K7*M7</f>
        <v>#VALUE!</v>
      </c>
      <c r="O7" s="267"/>
      <c r="P7" s="53" t="s">
        <v>147</v>
      </c>
      <c r="Q7" s="53">
        <v>10</v>
      </c>
      <c r="R7" s="75">
        <f aca="true" t="shared" si="1" ref="R7:R12">ROUND($AE$1*Q7/1000,1)</f>
        <v>0.7</v>
      </c>
      <c r="S7" s="75" t="s">
        <v>0</v>
      </c>
      <c r="T7" s="157"/>
      <c r="U7" s="52">
        <f>R7*T7</f>
        <v>0</v>
      </c>
      <c r="V7" s="267"/>
      <c r="W7" s="53" t="s">
        <v>183</v>
      </c>
      <c r="X7" s="257">
        <v>41</v>
      </c>
      <c r="Y7" s="75">
        <f aca="true" t="shared" si="2" ref="Y7:Y13">ROUND($AE$1*X7/1000,1)</f>
        <v>3</v>
      </c>
      <c r="Z7" s="75" t="s">
        <v>0</v>
      </c>
      <c r="AA7" s="157"/>
      <c r="AB7" s="52">
        <f aca="true" t="shared" si="3" ref="AB7:AB15">Y7*AA7</f>
        <v>0</v>
      </c>
      <c r="AC7" s="370"/>
      <c r="AD7" s="21" t="s">
        <v>64</v>
      </c>
      <c r="AE7" s="21">
        <v>12</v>
      </c>
      <c r="AF7" s="75">
        <v>2</v>
      </c>
      <c r="AG7" s="74" t="s">
        <v>21</v>
      </c>
      <c r="AH7" s="157"/>
      <c r="AI7" s="48">
        <f aca="true" t="shared" si="4" ref="AI7:AI15">AF7*AH7</f>
        <v>0</v>
      </c>
      <c r="AJ7" s="370"/>
      <c r="AK7" s="186" t="s">
        <v>18</v>
      </c>
      <c r="AL7" s="21">
        <v>12</v>
      </c>
      <c r="AM7" s="75">
        <v>2</v>
      </c>
      <c r="AN7" s="74" t="s">
        <v>21</v>
      </c>
      <c r="AO7" s="190">
        <v>55</v>
      </c>
      <c r="AP7" s="21"/>
      <c r="AU7" s="304"/>
      <c r="AV7" s="184" t="s">
        <v>231</v>
      </c>
      <c r="AW7" s="21"/>
      <c r="AX7" s="124"/>
      <c r="AY7" s="125"/>
    </row>
    <row r="8" spans="1:51" s="50" customFormat="1" ht="18.75" customHeight="1">
      <c r="A8" s="304"/>
      <c r="B8" s="21" t="s">
        <v>264</v>
      </c>
      <c r="C8" s="77">
        <v>120</v>
      </c>
      <c r="D8" s="75">
        <f>ROUND($AE$1*C8/1000,0)</f>
        <v>9</v>
      </c>
      <c r="E8" s="52" t="s">
        <v>52</v>
      </c>
      <c r="F8" s="157"/>
      <c r="G8" s="52">
        <f>D8*F8</f>
        <v>0</v>
      </c>
      <c r="H8" s="267"/>
      <c r="I8" s="21" t="s">
        <v>40</v>
      </c>
      <c r="J8" s="21">
        <v>15</v>
      </c>
      <c r="K8" s="75">
        <f>ROUND($AE$1*J8/1000,1)</f>
        <v>1.1</v>
      </c>
      <c r="L8" s="74" t="s">
        <v>0</v>
      </c>
      <c r="M8" s="157"/>
      <c r="N8" s="52">
        <f t="shared" si="0"/>
        <v>0</v>
      </c>
      <c r="O8" s="267"/>
      <c r="P8" s="21" t="s">
        <v>144</v>
      </c>
      <c r="Q8" s="53">
        <v>20</v>
      </c>
      <c r="R8" s="75">
        <f t="shared" si="1"/>
        <v>1.4</v>
      </c>
      <c r="S8" s="75" t="s">
        <v>0</v>
      </c>
      <c r="T8" s="157"/>
      <c r="U8" s="52">
        <f>R8*T8</f>
        <v>0</v>
      </c>
      <c r="V8" s="267"/>
      <c r="W8" s="53" t="s">
        <v>272</v>
      </c>
      <c r="X8" s="257">
        <v>1</v>
      </c>
      <c r="Y8" s="75">
        <f>ROUND($AE$1*X8/1000,1)</f>
        <v>0.1</v>
      </c>
      <c r="Z8" s="75" t="s">
        <v>0</v>
      </c>
      <c r="AA8" s="157"/>
      <c r="AB8" s="52">
        <f t="shared" si="3"/>
        <v>0</v>
      </c>
      <c r="AC8" s="370"/>
      <c r="AD8" s="21" t="s">
        <v>158</v>
      </c>
      <c r="AE8" s="21">
        <v>12</v>
      </c>
      <c r="AF8" s="75">
        <v>1</v>
      </c>
      <c r="AG8" s="74" t="s">
        <v>25</v>
      </c>
      <c r="AH8" s="157"/>
      <c r="AI8" s="48">
        <f t="shared" si="4"/>
        <v>0</v>
      </c>
      <c r="AJ8" s="370"/>
      <c r="AK8" s="21" t="s">
        <v>41</v>
      </c>
      <c r="AL8" s="21">
        <v>15</v>
      </c>
      <c r="AM8" s="75">
        <f>ROUND($AE$1*AL8/1000,1)</f>
        <v>1.1</v>
      </c>
      <c r="AN8" s="74" t="s">
        <v>0</v>
      </c>
      <c r="AO8" s="190">
        <v>67</v>
      </c>
      <c r="AP8" s="21"/>
      <c r="AU8" s="304"/>
      <c r="AV8" s="21" t="s">
        <v>164</v>
      </c>
      <c r="AW8" s="21"/>
      <c r="AX8" s="52">
        <v>2</v>
      </c>
      <c r="AY8" s="52" t="s">
        <v>52</v>
      </c>
    </row>
    <row r="9" spans="1:57" s="50" customFormat="1" ht="18.75" customHeight="1">
      <c r="A9" s="304"/>
      <c r="B9" s="60"/>
      <c r="C9" s="77"/>
      <c r="D9" s="75"/>
      <c r="E9" s="52"/>
      <c r="F9" s="157"/>
      <c r="G9" s="52">
        <f aca="true" t="shared" si="5" ref="G9:G16">D9*F9</f>
        <v>0</v>
      </c>
      <c r="H9" s="267"/>
      <c r="I9" s="21" t="s">
        <v>70</v>
      </c>
      <c r="J9" s="21">
        <v>8</v>
      </c>
      <c r="K9" s="75">
        <f>ROUND($AE$1*J9/1000,1)</f>
        <v>0.6</v>
      </c>
      <c r="L9" s="74" t="s">
        <v>0</v>
      </c>
      <c r="M9" s="157"/>
      <c r="N9" s="52">
        <f t="shared" si="0"/>
        <v>0</v>
      </c>
      <c r="O9" s="267"/>
      <c r="P9" s="53" t="s">
        <v>145</v>
      </c>
      <c r="Q9" s="53">
        <v>30</v>
      </c>
      <c r="R9" s="75">
        <f t="shared" si="1"/>
        <v>2.2</v>
      </c>
      <c r="S9" s="75" t="s">
        <v>0</v>
      </c>
      <c r="T9" s="157"/>
      <c r="U9" s="52">
        <f>R9*T9</f>
        <v>0</v>
      </c>
      <c r="V9" s="267"/>
      <c r="W9" s="21" t="s">
        <v>162</v>
      </c>
      <c r="X9" s="257">
        <v>2</v>
      </c>
      <c r="Y9" s="75">
        <f t="shared" si="2"/>
        <v>0.1</v>
      </c>
      <c r="Z9" s="75" t="s">
        <v>0</v>
      </c>
      <c r="AA9" s="157"/>
      <c r="AB9" s="52">
        <f t="shared" si="3"/>
        <v>0</v>
      </c>
      <c r="AC9" s="370"/>
      <c r="AD9" s="21" t="s">
        <v>1</v>
      </c>
      <c r="AE9" s="21">
        <v>16</v>
      </c>
      <c r="AF9" s="75">
        <f>ROUND($AE$1*AE9/1000,1)</f>
        <v>1.2</v>
      </c>
      <c r="AG9" s="74" t="s">
        <v>0</v>
      </c>
      <c r="AH9" s="157"/>
      <c r="AI9" s="48">
        <f t="shared" si="4"/>
        <v>0</v>
      </c>
      <c r="AJ9" s="370"/>
      <c r="AK9" s="21" t="s">
        <v>108</v>
      </c>
      <c r="AL9" s="21">
        <v>15</v>
      </c>
      <c r="AM9" s="75" t="s">
        <v>23</v>
      </c>
      <c r="AN9" s="74" t="s">
        <v>0</v>
      </c>
      <c r="AO9" s="190"/>
      <c r="AP9" s="21"/>
      <c r="AU9" s="304"/>
      <c r="AV9" s="60" t="s">
        <v>14</v>
      </c>
      <c r="AW9" s="56"/>
      <c r="AX9" s="52">
        <v>2</v>
      </c>
      <c r="AY9" s="52" t="s">
        <v>52</v>
      </c>
      <c r="BA9" s="369" t="s">
        <v>155</v>
      </c>
      <c r="BB9" s="21" t="s">
        <v>64</v>
      </c>
      <c r="BC9" s="21">
        <v>5.5</v>
      </c>
      <c r="BD9" s="75">
        <v>2</v>
      </c>
      <c r="BE9" s="52" t="s">
        <v>21</v>
      </c>
    </row>
    <row r="10" spans="1:57" s="50" customFormat="1" ht="18.75" customHeight="1">
      <c r="A10" s="304"/>
      <c r="B10" s="148"/>
      <c r="C10" s="148"/>
      <c r="D10" s="77"/>
      <c r="E10" s="145"/>
      <c r="F10" s="157"/>
      <c r="G10" s="52">
        <f t="shared" si="5"/>
        <v>0</v>
      </c>
      <c r="H10" s="267"/>
      <c r="I10" s="56" t="s">
        <v>120</v>
      </c>
      <c r="J10" s="56">
        <v>6</v>
      </c>
      <c r="K10" s="75">
        <f>ROUND($AE$1*J10/1000,1)</f>
        <v>0.4</v>
      </c>
      <c r="L10" s="94" t="s">
        <v>0</v>
      </c>
      <c r="M10" s="157"/>
      <c r="N10" s="52">
        <f t="shared" si="0"/>
        <v>0</v>
      </c>
      <c r="O10" s="267"/>
      <c r="P10" s="53" t="s">
        <v>61</v>
      </c>
      <c r="Q10" s="53">
        <v>2</v>
      </c>
      <c r="R10" s="75">
        <f t="shared" si="1"/>
        <v>0.1</v>
      </c>
      <c r="S10" s="75" t="s">
        <v>0</v>
      </c>
      <c r="T10" s="157"/>
      <c r="U10" s="52">
        <f>R10*T10</f>
        <v>0</v>
      </c>
      <c r="V10" s="267"/>
      <c r="W10" s="53" t="s">
        <v>279</v>
      </c>
      <c r="X10" s="257">
        <v>1</v>
      </c>
      <c r="Y10" s="75">
        <f t="shared" si="2"/>
        <v>0.1</v>
      </c>
      <c r="Z10" s="75" t="s">
        <v>0</v>
      </c>
      <c r="AA10" s="157"/>
      <c r="AB10" s="52">
        <f t="shared" si="3"/>
        <v>0</v>
      </c>
      <c r="AC10" s="370"/>
      <c r="AD10" s="21" t="s">
        <v>162</v>
      </c>
      <c r="AE10" s="21">
        <v>1.5</v>
      </c>
      <c r="AF10" s="75" t="s">
        <v>23</v>
      </c>
      <c r="AG10" s="74" t="s">
        <v>0</v>
      </c>
      <c r="AH10" s="157"/>
      <c r="AI10" s="48" t="e">
        <f t="shared" si="4"/>
        <v>#VALUE!</v>
      </c>
      <c r="AJ10" s="370"/>
      <c r="AK10" s="21" t="s">
        <v>103</v>
      </c>
      <c r="AL10" s="21">
        <v>1.5</v>
      </c>
      <c r="AM10" s="75">
        <v>0</v>
      </c>
      <c r="AN10" s="74" t="s">
        <v>0</v>
      </c>
      <c r="AO10" s="190">
        <v>160</v>
      </c>
      <c r="AP10" s="21"/>
      <c r="AU10" s="304"/>
      <c r="AV10" s="148"/>
      <c r="AW10" s="148"/>
      <c r="AX10" s="77"/>
      <c r="AY10" s="145"/>
      <c r="BA10" s="369"/>
      <c r="BB10" s="21" t="s">
        <v>156</v>
      </c>
      <c r="BC10" s="21">
        <v>18</v>
      </c>
      <c r="BD10" s="75">
        <f>ROUND($AE$1*BC10/1000,1)</f>
        <v>1.3</v>
      </c>
      <c r="BE10" s="52" t="s">
        <v>0</v>
      </c>
    </row>
    <row r="11" spans="1:57" s="50" customFormat="1" ht="18.75" customHeight="1">
      <c r="A11" s="304"/>
      <c r="B11" s="148"/>
      <c r="C11" s="148"/>
      <c r="D11" s="77"/>
      <c r="E11" s="145"/>
      <c r="F11" s="157"/>
      <c r="G11" s="52">
        <f t="shared" si="5"/>
        <v>0</v>
      </c>
      <c r="H11" s="267"/>
      <c r="I11" s="21" t="s">
        <v>1</v>
      </c>
      <c r="J11" s="21">
        <v>30</v>
      </c>
      <c r="K11" s="75">
        <f>ROUND($AE$1*J11/1000,1)</f>
        <v>2.2</v>
      </c>
      <c r="L11" s="74" t="s">
        <v>0</v>
      </c>
      <c r="M11" s="157"/>
      <c r="N11" s="52">
        <f t="shared" si="0"/>
        <v>0</v>
      </c>
      <c r="O11" s="267"/>
      <c r="P11" s="53" t="s">
        <v>70</v>
      </c>
      <c r="Q11" s="53">
        <v>8</v>
      </c>
      <c r="R11" s="75">
        <f t="shared" si="1"/>
        <v>0.6</v>
      </c>
      <c r="S11" s="75" t="s">
        <v>0</v>
      </c>
      <c r="T11" s="157"/>
      <c r="U11" s="52"/>
      <c r="V11" s="267"/>
      <c r="W11" s="53" t="s">
        <v>274</v>
      </c>
      <c r="X11" s="257">
        <v>33</v>
      </c>
      <c r="Y11" s="75">
        <f t="shared" si="2"/>
        <v>2.4</v>
      </c>
      <c r="Z11" s="75" t="s">
        <v>0</v>
      </c>
      <c r="AA11" s="157"/>
      <c r="AB11" s="52">
        <f t="shared" si="3"/>
        <v>0</v>
      </c>
      <c r="AC11" s="370"/>
      <c r="AD11" s="56" t="s">
        <v>160</v>
      </c>
      <c r="AE11" s="21">
        <v>10</v>
      </c>
      <c r="AF11" s="75">
        <f>ROUND($AE$1*AE11/1000,1)</f>
        <v>0.7</v>
      </c>
      <c r="AG11" s="74" t="s">
        <v>0</v>
      </c>
      <c r="AH11" s="157"/>
      <c r="AI11" s="48">
        <f t="shared" si="4"/>
        <v>0</v>
      </c>
      <c r="AJ11" s="370"/>
      <c r="AK11" s="21" t="s">
        <v>104</v>
      </c>
      <c r="AL11" s="21">
        <v>6</v>
      </c>
      <c r="AM11" s="75">
        <f>ROUND($AE$1*AL11/1000,1)</f>
        <v>0.4</v>
      </c>
      <c r="AN11" s="74" t="s">
        <v>0</v>
      </c>
      <c r="AO11" s="190">
        <v>2050</v>
      </c>
      <c r="AP11" s="21"/>
      <c r="AU11" s="304"/>
      <c r="AV11" s="148"/>
      <c r="AW11" s="148"/>
      <c r="AX11" s="77"/>
      <c r="AY11" s="145"/>
      <c r="BA11" s="369"/>
      <c r="BB11" s="21" t="s">
        <v>26</v>
      </c>
      <c r="BC11" s="21">
        <v>14.5</v>
      </c>
      <c r="BD11" s="75">
        <f>ROUND($AE$1*BC11/1000,1)</f>
        <v>1</v>
      </c>
      <c r="BE11" s="52" t="s">
        <v>0</v>
      </c>
    </row>
    <row r="12" spans="1:57" s="40" customFormat="1" ht="18.75" customHeight="1">
      <c r="A12" s="304"/>
      <c r="B12" s="148"/>
      <c r="C12" s="148"/>
      <c r="D12" s="77"/>
      <c r="E12" s="145"/>
      <c r="F12" s="157"/>
      <c r="G12" s="52"/>
      <c r="H12" s="267"/>
      <c r="I12" s="21" t="s">
        <v>102</v>
      </c>
      <c r="J12" s="21">
        <v>0.5</v>
      </c>
      <c r="K12" s="75" t="s">
        <v>23</v>
      </c>
      <c r="L12" s="74" t="s">
        <v>0</v>
      </c>
      <c r="M12" s="157"/>
      <c r="N12" s="52" t="e">
        <f t="shared" si="0"/>
        <v>#VALUE!</v>
      </c>
      <c r="O12" s="267"/>
      <c r="P12" s="53" t="s">
        <v>124</v>
      </c>
      <c r="Q12" s="53">
        <v>4</v>
      </c>
      <c r="R12" s="75">
        <f t="shared" si="1"/>
        <v>0.3</v>
      </c>
      <c r="S12" s="75" t="s">
        <v>0</v>
      </c>
      <c r="T12" s="157"/>
      <c r="U12" s="52">
        <f>R12*T12</f>
        <v>0</v>
      </c>
      <c r="V12" s="267"/>
      <c r="W12" s="53" t="s">
        <v>275</v>
      </c>
      <c r="X12" s="257">
        <v>33</v>
      </c>
      <c r="Y12" s="75">
        <f t="shared" si="2"/>
        <v>2.4</v>
      </c>
      <c r="Z12" s="75" t="s">
        <v>0</v>
      </c>
      <c r="AA12" s="157"/>
      <c r="AB12" s="52">
        <f t="shared" si="3"/>
        <v>0</v>
      </c>
      <c r="AC12" s="370"/>
      <c r="AD12" s="59" t="s">
        <v>70</v>
      </c>
      <c r="AE12" s="21">
        <v>10</v>
      </c>
      <c r="AF12" s="75">
        <f>ROUND($AE$1*AE12/1000,1)</f>
        <v>0.7</v>
      </c>
      <c r="AG12" s="74" t="s">
        <v>0</v>
      </c>
      <c r="AH12" s="157"/>
      <c r="AI12" s="48">
        <f t="shared" si="4"/>
        <v>0</v>
      </c>
      <c r="AJ12" s="370"/>
      <c r="AK12" s="59" t="s">
        <v>70</v>
      </c>
      <c r="AL12" s="21">
        <v>12</v>
      </c>
      <c r="AM12" s="75">
        <f>ROUND($AE$1*AL12/1000,1)</f>
        <v>0.9</v>
      </c>
      <c r="AN12" s="74" t="s">
        <v>0</v>
      </c>
      <c r="AO12" s="190">
        <v>40</v>
      </c>
      <c r="AP12" s="59"/>
      <c r="AU12" s="304"/>
      <c r="AV12" s="148"/>
      <c r="AW12" s="148"/>
      <c r="AX12" s="77"/>
      <c r="AY12" s="145"/>
      <c r="BA12" s="369"/>
      <c r="BB12" s="21" t="s">
        <v>41</v>
      </c>
      <c r="BC12" s="21">
        <v>11</v>
      </c>
      <c r="BD12" s="75">
        <f>ROUND($AE$1*BC12/1000,1)</f>
        <v>0.8</v>
      </c>
      <c r="BE12" s="52" t="s">
        <v>0</v>
      </c>
    </row>
    <row r="13" spans="1:57" s="50" customFormat="1" ht="18.75" customHeight="1">
      <c r="A13" s="304"/>
      <c r="B13" s="148"/>
      <c r="C13" s="148"/>
      <c r="D13" s="77"/>
      <c r="E13" s="145"/>
      <c r="F13" s="157"/>
      <c r="G13" s="52">
        <f t="shared" si="5"/>
        <v>0</v>
      </c>
      <c r="H13" s="267"/>
      <c r="I13" s="21" t="s">
        <v>150</v>
      </c>
      <c r="J13" s="21">
        <v>15</v>
      </c>
      <c r="K13" s="75">
        <f>ROUND($AE$1*J13/1000,0)</f>
        <v>1</v>
      </c>
      <c r="L13" s="74" t="s">
        <v>25</v>
      </c>
      <c r="M13" s="157"/>
      <c r="N13" s="52">
        <f t="shared" si="0"/>
        <v>0</v>
      </c>
      <c r="O13" s="267"/>
      <c r="P13" s="53" t="s">
        <v>146</v>
      </c>
      <c r="Q13" s="53">
        <v>20</v>
      </c>
      <c r="R13" s="204" t="s">
        <v>23</v>
      </c>
      <c r="S13" s="75" t="s">
        <v>0</v>
      </c>
      <c r="T13" s="157"/>
      <c r="U13" s="52"/>
      <c r="V13" s="267"/>
      <c r="W13" s="53" t="s">
        <v>276</v>
      </c>
      <c r="X13" s="257">
        <v>4</v>
      </c>
      <c r="Y13" s="75">
        <f t="shared" si="2"/>
        <v>0.3</v>
      </c>
      <c r="Z13" s="75" t="s">
        <v>0</v>
      </c>
      <c r="AA13" s="157"/>
      <c r="AB13" s="52">
        <f t="shared" si="3"/>
        <v>0</v>
      </c>
      <c r="AC13" s="370"/>
      <c r="AD13" s="59" t="s">
        <v>163</v>
      </c>
      <c r="AE13" s="59">
        <v>35</v>
      </c>
      <c r="AF13" s="75" t="s">
        <v>23</v>
      </c>
      <c r="AG13" s="74" t="s">
        <v>0</v>
      </c>
      <c r="AH13" s="157"/>
      <c r="AI13" s="48" t="e">
        <f t="shared" si="4"/>
        <v>#VALUE!</v>
      </c>
      <c r="AJ13" s="370"/>
      <c r="AK13" s="59"/>
      <c r="AL13" s="59"/>
      <c r="AM13" s="75"/>
      <c r="AN13" s="74"/>
      <c r="AO13" s="190"/>
      <c r="AP13" s="59"/>
      <c r="AU13" s="304"/>
      <c r="AV13" s="148"/>
      <c r="AW13" s="148"/>
      <c r="AX13" s="77"/>
      <c r="AY13" s="145"/>
      <c r="BA13" s="369"/>
      <c r="BB13" s="21" t="s">
        <v>157</v>
      </c>
      <c r="BC13" s="21">
        <v>10</v>
      </c>
      <c r="BD13" s="75">
        <v>2</v>
      </c>
      <c r="BE13" s="52" t="s">
        <v>21</v>
      </c>
    </row>
    <row r="14" spans="1:57" s="50" customFormat="1" ht="18.75" customHeight="1">
      <c r="A14" s="304"/>
      <c r="B14" s="148"/>
      <c r="C14" s="148"/>
      <c r="D14" s="77"/>
      <c r="E14" s="145"/>
      <c r="F14" s="157"/>
      <c r="G14" s="52">
        <f t="shared" si="5"/>
        <v>0</v>
      </c>
      <c r="H14" s="267"/>
      <c r="I14" s="53" t="s">
        <v>86</v>
      </c>
      <c r="J14" s="53">
        <v>8</v>
      </c>
      <c r="K14" s="75">
        <f>ROUND($AE$1*J14/1000,1)</f>
        <v>0.6</v>
      </c>
      <c r="L14" s="74" t="s">
        <v>0</v>
      </c>
      <c r="M14" s="157"/>
      <c r="N14" s="52">
        <f t="shared" si="0"/>
        <v>0</v>
      </c>
      <c r="O14" s="267"/>
      <c r="P14" s="53"/>
      <c r="Q14" s="53"/>
      <c r="R14" s="204"/>
      <c r="S14" s="75"/>
      <c r="T14" s="157"/>
      <c r="U14" s="52"/>
      <c r="V14" s="267"/>
      <c r="W14" s="53" t="s">
        <v>277</v>
      </c>
      <c r="X14" s="257">
        <v>2</v>
      </c>
      <c r="Y14" s="75">
        <f>ROUND($AE$1*X14/1000,1)</f>
        <v>0.1</v>
      </c>
      <c r="Z14" s="75" t="s">
        <v>0</v>
      </c>
      <c r="AA14" s="157"/>
      <c r="AB14" s="52">
        <f t="shared" si="3"/>
        <v>0</v>
      </c>
      <c r="AC14" s="370"/>
      <c r="AD14" s="21"/>
      <c r="AE14" s="59"/>
      <c r="AF14" s="75"/>
      <c r="AG14" s="74"/>
      <c r="AH14" s="157"/>
      <c r="AI14" s="48">
        <f t="shared" si="4"/>
        <v>0</v>
      </c>
      <c r="AJ14" s="370"/>
      <c r="AK14" s="59"/>
      <c r="AL14" s="59"/>
      <c r="AM14" s="75"/>
      <c r="AN14" s="74"/>
      <c r="AO14" s="190"/>
      <c r="AP14" s="59"/>
      <c r="AU14" s="304"/>
      <c r="AV14" s="148"/>
      <c r="AW14" s="148"/>
      <c r="AX14" s="77"/>
      <c r="AY14" s="145"/>
      <c r="BA14" s="369"/>
      <c r="BB14" s="201" t="s">
        <v>142</v>
      </c>
      <c r="BC14" s="201">
        <v>10</v>
      </c>
      <c r="BD14" s="75" t="s">
        <v>23</v>
      </c>
      <c r="BE14" s="202" t="s">
        <v>0</v>
      </c>
    </row>
    <row r="15" spans="1:57" s="50" customFormat="1" ht="18.75" customHeight="1">
      <c r="A15" s="304"/>
      <c r="B15" s="148"/>
      <c r="C15" s="148"/>
      <c r="D15" s="77"/>
      <c r="E15" s="145"/>
      <c r="F15" s="157"/>
      <c r="G15" s="52">
        <f t="shared" si="5"/>
        <v>0</v>
      </c>
      <c r="H15" s="267"/>
      <c r="I15" s="53" t="s">
        <v>41</v>
      </c>
      <c r="J15" s="53">
        <v>8</v>
      </c>
      <c r="K15" s="75">
        <f>ROUND($AE$1*J15/1000,1)</f>
        <v>0.6</v>
      </c>
      <c r="L15" s="74" t="s">
        <v>0</v>
      </c>
      <c r="M15" s="157"/>
      <c r="N15" s="52">
        <f t="shared" si="0"/>
        <v>0</v>
      </c>
      <c r="O15" s="267"/>
      <c r="P15" s="53"/>
      <c r="Q15" s="53"/>
      <c r="R15" s="75"/>
      <c r="S15" s="75"/>
      <c r="T15" s="157"/>
      <c r="U15" s="52"/>
      <c r="V15" s="267"/>
      <c r="W15" s="53"/>
      <c r="X15" s="53"/>
      <c r="Y15" s="75"/>
      <c r="Z15" s="75"/>
      <c r="AA15" s="157"/>
      <c r="AB15" s="52">
        <f t="shared" si="3"/>
        <v>0</v>
      </c>
      <c r="AC15" s="370"/>
      <c r="AD15" s="21"/>
      <c r="AE15" s="21"/>
      <c r="AF15" s="75"/>
      <c r="AG15" s="74"/>
      <c r="AH15" s="157"/>
      <c r="AI15" s="48">
        <f t="shared" si="4"/>
        <v>0</v>
      </c>
      <c r="AJ15" s="370"/>
      <c r="AK15" s="21" t="s">
        <v>105</v>
      </c>
      <c r="AL15" s="21"/>
      <c r="AM15" s="75"/>
      <c r="AN15" s="74"/>
      <c r="AO15" s="190"/>
      <c r="AP15" s="21"/>
      <c r="AU15" s="304"/>
      <c r="AV15" s="148"/>
      <c r="AW15" s="148"/>
      <c r="AX15" s="77"/>
      <c r="AY15" s="145"/>
      <c r="BA15" s="369"/>
      <c r="BB15" s="78" t="s">
        <v>78</v>
      </c>
      <c r="BC15" s="78">
        <v>10</v>
      </c>
      <c r="BD15" s="77">
        <f>ROUND($AE$1*BC15/1000,1)</f>
        <v>0.7</v>
      </c>
      <c r="BE15" s="202" t="s">
        <v>0</v>
      </c>
    </row>
    <row r="16" spans="1:57" s="50" customFormat="1" ht="18.75" customHeight="1">
      <c r="A16" s="346"/>
      <c r="B16" s="56"/>
      <c r="C16" s="56"/>
      <c r="D16" s="77"/>
      <c r="E16" s="145"/>
      <c r="F16" s="157"/>
      <c r="G16" s="52">
        <f t="shared" si="5"/>
        <v>0</v>
      </c>
      <c r="H16" s="326"/>
      <c r="I16" s="21" t="s">
        <v>151</v>
      </c>
      <c r="J16" s="21">
        <v>3.5</v>
      </c>
      <c r="K16" s="75" t="s">
        <v>23</v>
      </c>
      <c r="L16" s="74" t="s">
        <v>0</v>
      </c>
      <c r="M16" s="157"/>
      <c r="N16" s="52" t="e">
        <f t="shared" si="0"/>
        <v>#VALUE!</v>
      </c>
      <c r="O16" s="326"/>
      <c r="P16" s="21"/>
      <c r="Q16" s="21"/>
      <c r="R16" s="75"/>
      <c r="S16" s="75"/>
      <c r="T16" s="157"/>
      <c r="U16" s="52"/>
      <c r="V16" s="326"/>
      <c r="W16" s="21"/>
      <c r="X16" s="21"/>
      <c r="Y16" s="75"/>
      <c r="Z16" s="75"/>
      <c r="AA16" s="157"/>
      <c r="AB16" s="52"/>
      <c r="AC16" s="371"/>
      <c r="AD16" s="21"/>
      <c r="AE16" s="21"/>
      <c r="AF16" s="75"/>
      <c r="AG16" s="74"/>
      <c r="AH16" s="157"/>
      <c r="AI16" s="48"/>
      <c r="AJ16" s="371"/>
      <c r="AK16" s="21"/>
      <c r="AL16" s="21"/>
      <c r="AM16" s="75"/>
      <c r="AN16" s="74"/>
      <c r="AO16" s="190"/>
      <c r="AP16" s="21"/>
      <c r="AU16" s="346"/>
      <c r="AV16" s="56"/>
      <c r="AW16" s="56"/>
      <c r="AX16" s="77"/>
      <c r="AY16" s="145"/>
      <c r="BA16" s="369"/>
      <c r="BB16" s="78"/>
      <c r="BC16" s="78"/>
      <c r="BD16" s="79"/>
      <c r="BE16" s="79"/>
    </row>
    <row r="17" spans="1:42" s="50" customFormat="1" ht="18.75" customHeight="1">
      <c r="A17" s="265" t="s">
        <v>42</v>
      </c>
      <c r="B17" s="265"/>
      <c r="C17" s="265"/>
      <c r="D17" s="265"/>
      <c r="E17" s="265"/>
      <c r="F17" s="87"/>
      <c r="G17" s="86"/>
      <c r="H17" s="265" t="s">
        <v>42</v>
      </c>
      <c r="I17" s="265"/>
      <c r="J17" s="265"/>
      <c r="K17" s="265"/>
      <c r="L17" s="265"/>
      <c r="M17" s="87"/>
      <c r="N17" s="87"/>
      <c r="O17" s="265" t="s">
        <v>42</v>
      </c>
      <c r="P17" s="265"/>
      <c r="Q17" s="265"/>
      <c r="R17" s="265"/>
      <c r="S17" s="265"/>
      <c r="T17" s="87"/>
      <c r="U17" s="87"/>
      <c r="V17" s="265" t="s">
        <v>42</v>
      </c>
      <c r="W17" s="265"/>
      <c r="X17" s="265"/>
      <c r="Y17" s="265"/>
      <c r="Z17" s="265"/>
      <c r="AA17" s="87"/>
      <c r="AB17" s="87"/>
      <c r="AC17" s="355" t="s">
        <v>42</v>
      </c>
      <c r="AD17" s="273"/>
      <c r="AE17" s="273"/>
      <c r="AF17" s="273"/>
      <c r="AG17" s="274"/>
      <c r="AH17" s="87"/>
      <c r="AI17" s="47"/>
      <c r="AJ17" s="265" t="s">
        <v>42</v>
      </c>
      <c r="AK17" s="265"/>
      <c r="AL17" s="265"/>
      <c r="AM17" s="265"/>
      <c r="AN17" s="265"/>
      <c r="AO17" s="191"/>
      <c r="AP17" s="47"/>
    </row>
    <row r="18" spans="1:42" s="50" customFormat="1" ht="18.75" customHeight="1">
      <c r="A18" s="266" t="s">
        <v>100</v>
      </c>
      <c r="B18" s="58" t="s">
        <v>228</v>
      </c>
      <c r="C18" s="77">
        <v>48</v>
      </c>
      <c r="D18" s="91">
        <f>ROUND($AE$1*C18/1000,)</f>
        <v>3</v>
      </c>
      <c r="E18" s="74" t="s">
        <v>0</v>
      </c>
      <c r="F18" s="157"/>
      <c r="G18" s="52">
        <f aca="true" t="shared" si="6" ref="G18:G25">D18*F18</f>
        <v>0</v>
      </c>
      <c r="H18" s="266" t="s">
        <v>263</v>
      </c>
      <c r="I18" s="27" t="s">
        <v>127</v>
      </c>
      <c r="J18" s="27">
        <v>31</v>
      </c>
      <c r="K18" s="164" t="s">
        <v>23</v>
      </c>
      <c r="L18" s="96" t="s">
        <v>0</v>
      </c>
      <c r="M18" s="157"/>
      <c r="N18" s="52" t="e">
        <f aca="true" t="shared" si="7" ref="N18:N25">K18*M18</f>
        <v>#VALUE!</v>
      </c>
      <c r="O18" s="369" t="s">
        <v>155</v>
      </c>
      <c r="P18" s="21" t="s">
        <v>64</v>
      </c>
      <c r="Q18" s="21">
        <v>5.5</v>
      </c>
      <c r="R18" s="75">
        <v>2</v>
      </c>
      <c r="S18" s="52" t="s">
        <v>21</v>
      </c>
      <c r="T18" s="157"/>
      <c r="U18" s="52">
        <f aca="true" t="shared" si="8" ref="U18:U24">R18*T18</f>
        <v>0</v>
      </c>
      <c r="V18" s="369" t="s">
        <v>153</v>
      </c>
      <c r="W18" s="59" t="s">
        <v>16</v>
      </c>
      <c r="X18" s="59">
        <v>1</v>
      </c>
      <c r="Y18" s="75">
        <f>ROUND($AE$1*X18,1)</f>
        <v>72</v>
      </c>
      <c r="Z18" s="74" t="s">
        <v>66</v>
      </c>
      <c r="AA18" s="157"/>
      <c r="AB18" s="52">
        <f aca="true" t="shared" si="9" ref="AB18:AB25">Y18*AA18</f>
        <v>0</v>
      </c>
      <c r="AC18" s="352" t="s">
        <v>100</v>
      </c>
      <c r="AD18" s="77" t="s">
        <v>63</v>
      </c>
      <c r="AE18" s="77">
        <v>48</v>
      </c>
      <c r="AF18" s="91">
        <f>ROUND($AE$1*AE18/1000,)</f>
        <v>3</v>
      </c>
      <c r="AG18" s="94" t="s">
        <v>0</v>
      </c>
      <c r="AH18" s="157"/>
      <c r="AI18" s="48">
        <f aca="true" t="shared" si="10" ref="AI18:AI25">AF18*AH18</f>
        <v>0</v>
      </c>
      <c r="AJ18" s="266" t="s">
        <v>100</v>
      </c>
      <c r="AK18" s="58" t="s">
        <v>69</v>
      </c>
      <c r="AL18" s="58">
        <v>60</v>
      </c>
      <c r="AM18" s="164">
        <f>ROUND($AE$1*AL18/1000,1)</f>
        <v>4.3</v>
      </c>
      <c r="AN18" s="74" t="s">
        <v>0</v>
      </c>
      <c r="AO18" s="192"/>
      <c r="AP18" s="58"/>
    </row>
    <row r="19" spans="1:52" s="50" customFormat="1" ht="18.75" customHeight="1">
      <c r="A19" s="267"/>
      <c r="B19" s="58" t="s">
        <v>63</v>
      </c>
      <c r="C19" s="77">
        <v>48</v>
      </c>
      <c r="D19" s="91">
        <f>ROUND($AE$1*C19/1000,)</f>
        <v>3</v>
      </c>
      <c r="E19" s="74" t="s">
        <v>0</v>
      </c>
      <c r="F19" s="157"/>
      <c r="G19" s="52">
        <f t="shared" si="6"/>
        <v>0</v>
      </c>
      <c r="H19" s="267"/>
      <c r="I19" s="60" t="s">
        <v>232</v>
      </c>
      <c r="J19" s="52">
        <v>120</v>
      </c>
      <c r="K19" s="75">
        <f>ROUND($AE$1*J19/1000,0)</f>
        <v>9</v>
      </c>
      <c r="L19" s="61" t="s">
        <v>52</v>
      </c>
      <c r="M19" s="157"/>
      <c r="N19" s="52">
        <f t="shared" si="7"/>
        <v>0</v>
      </c>
      <c r="O19" s="369"/>
      <c r="P19" s="21" t="s">
        <v>156</v>
      </c>
      <c r="Q19" s="21">
        <v>18</v>
      </c>
      <c r="R19" s="75">
        <f>ROUND($AE$1*Q19/1000,1)</f>
        <v>1.3</v>
      </c>
      <c r="S19" s="52" t="s">
        <v>0</v>
      </c>
      <c r="T19" s="157"/>
      <c r="U19" s="52">
        <f t="shared" si="8"/>
        <v>0</v>
      </c>
      <c r="V19" s="369"/>
      <c r="W19" s="53"/>
      <c r="X19" s="27"/>
      <c r="Y19" s="75"/>
      <c r="Z19" s="74"/>
      <c r="AA19" s="157"/>
      <c r="AB19" s="52">
        <f t="shared" si="9"/>
        <v>0</v>
      </c>
      <c r="AC19" s="353"/>
      <c r="AD19" s="77" t="s">
        <v>83</v>
      </c>
      <c r="AE19" s="77">
        <v>48</v>
      </c>
      <c r="AF19" s="91">
        <f>ROUND($AE$1*AE19/1000,)</f>
        <v>3</v>
      </c>
      <c r="AG19" s="94" t="s">
        <v>0</v>
      </c>
      <c r="AH19" s="157"/>
      <c r="AI19" s="48">
        <f t="shared" si="10"/>
        <v>0</v>
      </c>
      <c r="AJ19" s="267"/>
      <c r="AK19" s="58" t="s">
        <v>47</v>
      </c>
      <c r="AL19" s="58">
        <v>40</v>
      </c>
      <c r="AM19" s="164">
        <v>3</v>
      </c>
      <c r="AN19" s="74" t="s">
        <v>0</v>
      </c>
      <c r="AO19" s="192"/>
      <c r="AP19" s="58"/>
      <c r="AV19" s="266" t="s">
        <v>278</v>
      </c>
      <c r="AW19" s="256" t="s">
        <v>270</v>
      </c>
      <c r="AX19" s="257">
        <v>20</v>
      </c>
      <c r="AY19" s="75">
        <f>ROUND($AE$1*AX19/1000,0)</f>
        <v>1</v>
      </c>
      <c r="AZ19" s="74" t="s">
        <v>0</v>
      </c>
    </row>
    <row r="20" spans="1:52" s="50" customFormat="1" ht="18.75" customHeight="1">
      <c r="A20" s="267"/>
      <c r="B20" s="77" t="s">
        <v>244</v>
      </c>
      <c r="C20" s="77">
        <v>48</v>
      </c>
      <c r="D20" s="91">
        <f>ROUND($AE$1*C20/1000,)</f>
        <v>3</v>
      </c>
      <c r="E20" s="74" t="s">
        <v>0</v>
      </c>
      <c r="F20" s="157"/>
      <c r="G20" s="52">
        <f t="shared" si="6"/>
        <v>0</v>
      </c>
      <c r="H20" s="267"/>
      <c r="I20" s="60"/>
      <c r="J20" s="52"/>
      <c r="K20" s="52"/>
      <c r="L20" s="61"/>
      <c r="M20" s="157"/>
      <c r="N20" s="52">
        <f t="shared" si="7"/>
        <v>0</v>
      </c>
      <c r="O20" s="369"/>
      <c r="P20" s="21" t="s">
        <v>26</v>
      </c>
      <c r="Q20" s="21">
        <v>14.5</v>
      </c>
      <c r="R20" s="75">
        <f>ROUND($AE$1*Q20/1000,1)</f>
        <v>1</v>
      </c>
      <c r="S20" s="52" t="s">
        <v>0</v>
      </c>
      <c r="T20" s="157"/>
      <c r="U20" s="52">
        <f t="shared" si="8"/>
        <v>0</v>
      </c>
      <c r="V20" s="369"/>
      <c r="W20" s="62" t="s">
        <v>83</v>
      </c>
      <c r="X20" s="62">
        <v>0.5</v>
      </c>
      <c r="Y20" s="75">
        <f>ROUND($AE$1*X20,1)</f>
        <v>36</v>
      </c>
      <c r="Z20" s="23" t="s">
        <v>84</v>
      </c>
      <c r="AA20" s="157"/>
      <c r="AB20" s="52">
        <f t="shared" si="9"/>
        <v>0</v>
      </c>
      <c r="AC20" s="353"/>
      <c r="AD20" s="77" t="s">
        <v>19</v>
      </c>
      <c r="AE20" s="77">
        <v>45</v>
      </c>
      <c r="AF20" s="91">
        <f>ROUND($AE$1*AE20/1000,)</f>
        <v>3</v>
      </c>
      <c r="AG20" s="94" t="s">
        <v>0</v>
      </c>
      <c r="AH20" s="157"/>
      <c r="AI20" s="48">
        <f t="shared" si="10"/>
        <v>0</v>
      </c>
      <c r="AJ20" s="267"/>
      <c r="AK20" s="77" t="s">
        <v>19</v>
      </c>
      <c r="AL20" s="58">
        <v>40</v>
      </c>
      <c r="AM20" s="164">
        <v>3</v>
      </c>
      <c r="AN20" s="74" t="s">
        <v>0</v>
      </c>
      <c r="AO20" s="192"/>
      <c r="AP20" s="77"/>
      <c r="AV20" s="267"/>
      <c r="AW20" s="256" t="s">
        <v>271</v>
      </c>
      <c r="AX20" s="257">
        <v>22</v>
      </c>
      <c r="AY20" s="75" t="s">
        <v>23</v>
      </c>
      <c r="AZ20" s="74" t="s">
        <v>0</v>
      </c>
    </row>
    <row r="21" spans="1:52" s="50" customFormat="1" ht="18.75" customHeight="1">
      <c r="A21" s="267"/>
      <c r="B21" s="167"/>
      <c r="C21" s="167"/>
      <c r="D21" s="75"/>
      <c r="E21" s="74"/>
      <c r="F21" s="157"/>
      <c r="G21" s="52">
        <f t="shared" si="6"/>
        <v>0</v>
      </c>
      <c r="H21" s="267"/>
      <c r="I21" s="21"/>
      <c r="J21" s="21"/>
      <c r="K21" s="75"/>
      <c r="L21" s="74"/>
      <c r="M21" s="157"/>
      <c r="N21" s="52">
        <f t="shared" si="7"/>
        <v>0</v>
      </c>
      <c r="O21" s="369"/>
      <c r="P21" s="21" t="s">
        <v>41</v>
      </c>
      <c r="Q21" s="21">
        <v>11</v>
      </c>
      <c r="R21" s="75">
        <f>ROUND($AE$1*Q21/1000,1)</f>
        <v>0.8</v>
      </c>
      <c r="S21" s="52" t="s">
        <v>0</v>
      </c>
      <c r="T21" s="157"/>
      <c r="U21" s="52">
        <f t="shared" si="8"/>
        <v>0</v>
      </c>
      <c r="V21" s="369"/>
      <c r="W21" s="59"/>
      <c r="X21" s="59"/>
      <c r="Y21" s="75"/>
      <c r="Z21" s="168"/>
      <c r="AA21" s="157"/>
      <c r="AB21" s="52">
        <f t="shared" si="9"/>
        <v>0</v>
      </c>
      <c r="AC21" s="353"/>
      <c r="AD21" s="155"/>
      <c r="AE21" s="155"/>
      <c r="AF21" s="91"/>
      <c r="AG21" s="94"/>
      <c r="AH21" s="157"/>
      <c r="AI21" s="48">
        <f t="shared" si="10"/>
        <v>0</v>
      </c>
      <c r="AJ21" s="267"/>
      <c r="AK21" s="167"/>
      <c r="AL21" s="167"/>
      <c r="AM21" s="75"/>
      <c r="AN21" s="74"/>
      <c r="AO21" s="192"/>
      <c r="AP21" s="167"/>
      <c r="AV21" s="267"/>
      <c r="AW21" s="256" t="s">
        <v>272</v>
      </c>
      <c r="AX21" s="257">
        <v>0.5</v>
      </c>
      <c r="AY21" s="75">
        <f>ROUND($AE$1*AX21/1000,1)</f>
        <v>0</v>
      </c>
      <c r="AZ21" s="74" t="s">
        <v>0</v>
      </c>
    </row>
    <row r="22" spans="1:52" s="50" customFormat="1" ht="18.75" customHeight="1">
      <c r="A22" s="267"/>
      <c r="B22" s="60" t="s">
        <v>232</v>
      </c>
      <c r="C22" s="77">
        <v>120</v>
      </c>
      <c r="D22" s="75">
        <f>ROUND($AE$1*C22/1000,0)</f>
        <v>9</v>
      </c>
      <c r="E22" s="61" t="s">
        <v>52</v>
      </c>
      <c r="F22" s="157"/>
      <c r="G22" s="52">
        <f t="shared" si="6"/>
        <v>0</v>
      </c>
      <c r="H22" s="267"/>
      <c r="I22" s="60"/>
      <c r="J22" s="52"/>
      <c r="K22" s="52"/>
      <c r="L22" s="61"/>
      <c r="M22" s="157"/>
      <c r="N22" s="52">
        <f t="shared" si="7"/>
        <v>0</v>
      </c>
      <c r="O22" s="369"/>
      <c r="P22" s="21" t="s">
        <v>157</v>
      </c>
      <c r="Q22" s="21">
        <v>10</v>
      </c>
      <c r="R22" s="75">
        <v>2</v>
      </c>
      <c r="S22" s="52" t="s">
        <v>21</v>
      </c>
      <c r="T22" s="157"/>
      <c r="U22" s="52">
        <f t="shared" si="8"/>
        <v>0</v>
      </c>
      <c r="V22" s="369"/>
      <c r="W22" s="62"/>
      <c r="X22" s="62"/>
      <c r="Y22" s="75"/>
      <c r="Z22" s="23"/>
      <c r="AA22" s="157"/>
      <c r="AB22" s="52">
        <f t="shared" si="9"/>
        <v>0</v>
      </c>
      <c r="AC22" s="353"/>
      <c r="AD22" s="241" t="s">
        <v>232</v>
      </c>
      <c r="AE22" s="243">
        <v>120</v>
      </c>
      <c r="AF22" s="244" t="s">
        <v>23</v>
      </c>
      <c r="AG22" s="77" t="s">
        <v>52</v>
      </c>
      <c r="AH22" s="157"/>
      <c r="AI22" s="48" t="e">
        <f t="shared" si="10"/>
        <v>#VALUE!</v>
      </c>
      <c r="AJ22" s="267"/>
      <c r="AK22" s="60" t="s">
        <v>15</v>
      </c>
      <c r="AL22" s="52">
        <v>133</v>
      </c>
      <c r="AM22" s="52">
        <v>4</v>
      </c>
      <c r="AN22" s="61" t="s">
        <v>52</v>
      </c>
      <c r="AO22" s="192">
        <v>170</v>
      </c>
      <c r="AP22" s="60"/>
      <c r="AV22" s="267"/>
      <c r="AW22" s="258" t="s">
        <v>162</v>
      </c>
      <c r="AX22" s="257">
        <v>2</v>
      </c>
      <c r="AY22" s="75">
        <f>ROUND($AE$1*AX22/1000,1)</f>
        <v>0.1</v>
      </c>
      <c r="AZ22" s="74" t="s">
        <v>0</v>
      </c>
    </row>
    <row r="23" spans="1:52" s="50" customFormat="1" ht="18.75" customHeight="1">
      <c r="A23" s="267"/>
      <c r="B23" s="167"/>
      <c r="C23" s="167"/>
      <c r="D23" s="75"/>
      <c r="E23" s="74"/>
      <c r="F23" s="157"/>
      <c r="G23" s="52">
        <f t="shared" si="6"/>
        <v>0</v>
      </c>
      <c r="H23" s="267"/>
      <c r="I23" s="58"/>
      <c r="J23" s="58"/>
      <c r="K23" s="164"/>
      <c r="L23" s="74"/>
      <c r="M23" s="157"/>
      <c r="N23" s="52">
        <f t="shared" si="7"/>
        <v>0</v>
      </c>
      <c r="O23" s="369"/>
      <c r="P23" s="201" t="s">
        <v>142</v>
      </c>
      <c r="Q23" s="201">
        <v>10</v>
      </c>
      <c r="R23" s="75" t="s">
        <v>23</v>
      </c>
      <c r="S23" s="259" t="s">
        <v>0</v>
      </c>
      <c r="T23" s="157"/>
      <c r="U23" s="52" t="e">
        <f t="shared" si="8"/>
        <v>#VALUE!</v>
      </c>
      <c r="V23" s="369"/>
      <c r="W23" s="200"/>
      <c r="X23" s="27"/>
      <c r="Y23" s="75"/>
      <c r="Z23" s="74"/>
      <c r="AA23" s="157"/>
      <c r="AB23" s="52">
        <f t="shared" si="9"/>
        <v>0</v>
      </c>
      <c r="AC23" s="353"/>
      <c r="AD23" s="242" t="s">
        <v>247</v>
      </c>
      <c r="AE23" s="155"/>
      <c r="AF23" s="91"/>
      <c r="AG23" s="94"/>
      <c r="AH23" s="157"/>
      <c r="AI23" s="48">
        <f t="shared" si="10"/>
        <v>0</v>
      </c>
      <c r="AJ23" s="267"/>
      <c r="AK23" s="167"/>
      <c r="AL23" s="167"/>
      <c r="AM23" s="75"/>
      <c r="AN23" s="74"/>
      <c r="AO23" s="192"/>
      <c r="AP23" s="167"/>
      <c r="AV23" s="267"/>
      <c r="AW23" s="256" t="s">
        <v>273</v>
      </c>
      <c r="AX23" s="257">
        <v>1</v>
      </c>
      <c r="AY23" s="75">
        <f>ROUND($AE$1*AX23/1000,1)</f>
        <v>0.1</v>
      </c>
      <c r="AZ23" s="94" t="s">
        <v>0</v>
      </c>
    </row>
    <row r="24" spans="1:52" s="50" customFormat="1" ht="18.75" customHeight="1">
      <c r="A24" s="267"/>
      <c r="B24" s="167"/>
      <c r="C24" s="167"/>
      <c r="D24" s="75"/>
      <c r="E24" s="74"/>
      <c r="F24" s="260"/>
      <c r="G24" s="52">
        <f t="shared" si="6"/>
        <v>0</v>
      </c>
      <c r="H24" s="267"/>
      <c r="I24" s="59"/>
      <c r="J24" s="59"/>
      <c r="K24" s="75"/>
      <c r="L24" s="74"/>
      <c r="M24" s="260"/>
      <c r="N24" s="52">
        <f t="shared" si="7"/>
        <v>0</v>
      </c>
      <c r="O24" s="369"/>
      <c r="P24" s="78" t="s">
        <v>78</v>
      </c>
      <c r="Q24" s="78">
        <v>10</v>
      </c>
      <c r="R24" s="77">
        <f>ROUND($AE$1*Q24/1000,1)</f>
        <v>0.7</v>
      </c>
      <c r="S24" s="259" t="s">
        <v>0</v>
      </c>
      <c r="T24" s="260"/>
      <c r="U24" s="52">
        <f t="shared" si="8"/>
        <v>0</v>
      </c>
      <c r="V24" s="369"/>
      <c r="W24" s="59"/>
      <c r="X24" s="59"/>
      <c r="Y24" s="75"/>
      <c r="Z24" s="74"/>
      <c r="AA24" s="260"/>
      <c r="AB24" s="52">
        <f t="shared" si="9"/>
        <v>0</v>
      </c>
      <c r="AC24" s="353"/>
      <c r="AD24" s="59"/>
      <c r="AE24" s="59"/>
      <c r="AF24" s="75"/>
      <c r="AG24" s="74"/>
      <c r="AH24" s="260"/>
      <c r="AI24" s="48">
        <f t="shared" si="10"/>
        <v>0</v>
      </c>
      <c r="AJ24" s="267"/>
      <c r="AK24" s="167"/>
      <c r="AL24" s="167"/>
      <c r="AM24" s="75"/>
      <c r="AN24" s="74"/>
      <c r="AO24" s="192"/>
      <c r="AP24" s="167"/>
      <c r="AV24" s="267"/>
      <c r="AW24" s="256" t="s">
        <v>274</v>
      </c>
      <c r="AX24" s="257">
        <v>33</v>
      </c>
      <c r="AY24" s="75">
        <f>ROUND($AE$1*AX24/1000,1)</f>
        <v>2.4</v>
      </c>
      <c r="AZ24" s="74" t="s">
        <v>0</v>
      </c>
    </row>
    <row r="25" spans="1:52" s="50" customFormat="1" ht="18.75" customHeight="1" thickBot="1">
      <c r="A25" s="267"/>
      <c r="B25" s="169"/>
      <c r="C25" s="169"/>
      <c r="D25" s="150"/>
      <c r="E25" s="170"/>
      <c r="F25" s="249"/>
      <c r="G25" s="172">
        <f t="shared" si="6"/>
        <v>0</v>
      </c>
      <c r="H25" s="267"/>
      <c r="I25" s="149"/>
      <c r="J25" s="149"/>
      <c r="K25" s="173"/>
      <c r="L25" s="170"/>
      <c r="M25" s="249"/>
      <c r="N25" s="172">
        <f t="shared" si="7"/>
        <v>0</v>
      </c>
      <c r="O25" s="369"/>
      <c r="P25" s="78"/>
      <c r="Q25" s="78"/>
      <c r="R25" s="79"/>
      <c r="S25" s="79"/>
      <c r="T25" s="249"/>
      <c r="U25" s="172">
        <f>R25*T25</f>
        <v>0</v>
      </c>
      <c r="V25" s="369"/>
      <c r="W25" s="149"/>
      <c r="X25" s="149"/>
      <c r="Y25" s="150"/>
      <c r="Z25" s="170"/>
      <c r="AA25" s="249"/>
      <c r="AB25" s="172">
        <f t="shared" si="9"/>
        <v>0</v>
      </c>
      <c r="AC25" s="378"/>
      <c r="AD25" s="215"/>
      <c r="AE25" s="215"/>
      <c r="AF25" s="189"/>
      <c r="AG25" s="216"/>
      <c r="AH25" s="249"/>
      <c r="AI25" s="174">
        <f t="shared" si="10"/>
        <v>0</v>
      </c>
      <c r="AJ25" s="267"/>
      <c r="AK25" s="169"/>
      <c r="AL25" s="169"/>
      <c r="AM25" s="150"/>
      <c r="AN25" s="170"/>
      <c r="AO25" s="192"/>
      <c r="AP25" s="169"/>
      <c r="AV25" s="267"/>
      <c r="AW25" s="256" t="s">
        <v>275</v>
      </c>
      <c r="AX25" s="257">
        <v>33</v>
      </c>
      <c r="AY25" s="75" t="s">
        <v>23</v>
      </c>
      <c r="AZ25" s="74" t="s">
        <v>0</v>
      </c>
    </row>
    <row r="26" spans="1:52" s="40" customFormat="1" ht="18.75" customHeight="1">
      <c r="A26" s="305" t="s">
        <v>90</v>
      </c>
      <c r="B26" s="98" t="s">
        <v>91</v>
      </c>
      <c r="C26" s="282">
        <v>2</v>
      </c>
      <c r="D26" s="282"/>
      <c r="E26" s="283"/>
      <c r="F26" s="284" t="e">
        <f>SUM(#REF!)</f>
        <v>#REF!</v>
      </c>
      <c r="G26" s="284"/>
      <c r="H26" s="292" t="s">
        <v>90</v>
      </c>
      <c r="I26" s="98" t="s">
        <v>91</v>
      </c>
      <c r="J26" s="282">
        <v>2.8</v>
      </c>
      <c r="K26" s="282"/>
      <c r="L26" s="283"/>
      <c r="M26" s="284" t="e">
        <f>SUM(#REF!)</f>
        <v>#REF!</v>
      </c>
      <c r="N26" s="285"/>
      <c r="O26" s="310" t="s">
        <v>90</v>
      </c>
      <c r="P26" s="98" t="s">
        <v>91</v>
      </c>
      <c r="Q26" s="282">
        <v>2.5</v>
      </c>
      <c r="R26" s="282"/>
      <c r="S26" s="283"/>
      <c r="T26" s="330" t="e">
        <f>SUM(#REF!)</f>
        <v>#REF!</v>
      </c>
      <c r="U26" s="284"/>
      <c r="V26" s="292" t="s">
        <v>90</v>
      </c>
      <c r="W26" s="98" t="s">
        <v>91</v>
      </c>
      <c r="X26" s="282">
        <v>1.5</v>
      </c>
      <c r="Y26" s="282"/>
      <c r="Z26" s="283"/>
      <c r="AA26" s="284" t="e">
        <f>SUM(#REF!)</f>
        <v>#REF!</v>
      </c>
      <c r="AB26" s="284"/>
      <c r="AC26" s="292" t="s">
        <v>90</v>
      </c>
      <c r="AD26" s="98" t="s">
        <v>91</v>
      </c>
      <c r="AE26" s="282">
        <v>2</v>
      </c>
      <c r="AF26" s="282"/>
      <c r="AG26" s="308"/>
      <c r="AH26" s="328" t="e">
        <f>SUM(#REF!)</f>
        <v>#REF!</v>
      </c>
      <c r="AI26" s="329"/>
      <c r="AJ26" s="375" t="s">
        <v>90</v>
      </c>
      <c r="AK26" s="176" t="s">
        <v>91</v>
      </c>
      <c r="AL26" s="282">
        <v>2.2</v>
      </c>
      <c r="AM26" s="282"/>
      <c r="AN26" s="308"/>
      <c r="AO26" s="99"/>
      <c r="AP26" s="175"/>
      <c r="AQ26" s="126">
        <f>(AE26+C26+J26+Q26+X26)/4</f>
        <v>2.7</v>
      </c>
      <c r="AV26" s="267"/>
      <c r="AW26" s="256" t="s">
        <v>276</v>
      </c>
      <c r="AX26" s="257">
        <v>4</v>
      </c>
      <c r="AY26" s="75">
        <f>ROUND($AE$1*AX26/1000,0)</f>
        <v>0</v>
      </c>
      <c r="AZ26" s="74" t="s">
        <v>25</v>
      </c>
    </row>
    <row r="27" spans="1:52" s="40" customFormat="1" ht="18.75" customHeight="1">
      <c r="A27" s="306"/>
      <c r="B27" s="100" t="s">
        <v>92</v>
      </c>
      <c r="C27" s="313">
        <v>0.5</v>
      </c>
      <c r="D27" s="313"/>
      <c r="E27" s="314"/>
      <c r="F27" s="101"/>
      <c r="G27" s="102"/>
      <c r="H27" s="293"/>
      <c r="I27" s="100" t="s">
        <v>92</v>
      </c>
      <c r="J27" s="313">
        <v>0.6</v>
      </c>
      <c r="K27" s="313"/>
      <c r="L27" s="314"/>
      <c r="M27" s="103"/>
      <c r="N27" s="102"/>
      <c r="O27" s="311"/>
      <c r="P27" s="100" t="s">
        <v>92</v>
      </c>
      <c r="Q27" s="313">
        <v>0.6</v>
      </c>
      <c r="R27" s="313"/>
      <c r="S27" s="314"/>
      <c r="T27" s="103"/>
      <c r="U27" s="104"/>
      <c r="V27" s="293"/>
      <c r="W27" s="100" t="s">
        <v>92</v>
      </c>
      <c r="X27" s="313">
        <v>0.5</v>
      </c>
      <c r="Y27" s="313"/>
      <c r="Z27" s="314"/>
      <c r="AA27" s="105"/>
      <c r="AB27" s="102"/>
      <c r="AC27" s="293"/>
      <c r="AD27" s="100" t="s">
        <v>92</v>
      </c>
      <c r="AE27" s="313">
        <v>0.5</v>
      </c>
      <c r="AF27" s="313"/>
      <c r="AG27" s="315"/>
      <c r="AH27" s="106"/>
      <c r="AI27" s="107"/>
      <c r="AJ27" s="376"/>
      <c r="AK27" s="178" t="s">
        <v>92</v>
      </c>
      <c r="AL27" s="313">
        <v>0.5</v>
      </c>
      <c r="AM27" s="313"/>
      <c r="AN27" s="315"/>
      <c r="AO27" s="99"/>
      <c r="AP27" s="177"/>
      <c r="AQ27" s="126">
        <f aca="true" t="shared" si="11" ref="AQ27:AQ32">(AE27+C27+J27+Q27+X27)/4</f>
        <v>0.675</v>
      </c>
      <c r="AV27" s="267"/>
      <c r="AW27" s="256" t="s">
        <v>277</v>
      </c>
      <c r="AX27" s="257">
        <v>2</v>
      </c>
      <c r="AY27" s="75">
        <f>ROUND($AE$1*AX27/1000,1)</f>
        <v>0.1</v>
      </c>
      <c r="AZ27" s="74" t="s">
        <v>0</v>
      </c>
    </row>
    <row r="28" spans="1:52" s="40" customFormat="1" ht="18.75" customHeight="1">
      <c r="A28" s="306"/>
      <c r="B28" s="108" t="s">
        <v>95</v>
      </c>
      <c r="C28" s="313">
        <v>0.3</v>
      </c>
      <c r="D28" s="313"/>
      <c r="E28" s="314"/>
      <c r="F28" s="101"/>
      <c r="G28" s="102"/>
      <c r="H28" s="293"/>
      <c r="I28" s="108" t="s">
        <v>95</v>
      </c>
      <c r="J28" s="313">
        <v>0.7</v>
      </c>
      <c r="K28" s="313"/>
      <c r="L28" s="314"/>
      <c r="M28" s="103"/>
      <c r="N28" s="102"/>
      <c r="O28" s="311"/>
      <c r="P28" s="108" t="s">
        <v>95</v>
      </c>
      <c r="Q28" s="313">
        <v>0.6</v>
      </c>
      <c r="R28" s="313"/>
      <c r="S28" s="314"/>
      <c r="T28" s="103"/>
      <c r="U28" s="104"/>
      <c r="V28" s="293"/>
      <c r="W28" s="108" t="s">
        <v>95</v>
      </c>
      <c r="X28" s="313">
        <v>0.4</v>
      </c>
      <c r="Y28" s="313"/>
      <c r="Z28" s="314"/>
      <c r="AA28" s="105"/>
      <c r="AB28" s="102"/>
      <c r="AC28" s="293"/>
      <c r="AD28" s="108" t="s">
        <v>95</v>
      </c>
      <c r="AE28" s="313">
        <v>0.4</v>
      </c>
      <c r="AF28" s="313"/>
      <c r="AG28" s="315"/>
      <c r="AH28" s="106"/>
      <c r="AI28" s="107"/>
      <c r="AJ28" s="376"/>
      <c r="AK28" s="179" t="s">
        <v>95</v>
      </c>
      <c r="AL28" s="313">
        <v>0.2</v>
      </c>
      <c r="AM28" s="313"/>
      <c r="AN28" s="315"/>
      <c r="AO28" s="99"/>
      <c r="AP28" s="177"/>
      <c r="AQ28" s="126">
        <f t="shared" si="11"/>
        <v>0.6</v>
      </c>
      <c r="AV28" s="267"/>
      <c r="AW28" s="53"/>
      <c r="AX28" s="53"/>
      <c r="AY28" s="75">
        <f>ROUND($AE$1*AX28/1000,1)</f>
        <v>0</v>
      </c>
      <c r="AZ28" s="74" t="s">
        <v>0</v>
      </c>
    </row>
    <row r="29" spans="1:52" s="40" customFormat="1" ht="18.75" customHeight="1">
      <c r="A29" s="306"/>
      <c r="B29" s="109" t="s">
        <v>93</v>
      </c>
      <c r="C29" s="313">
        <v>0.5</v>
      </c>
      <c r="D29" s="313"/>
      <c r="E29" s="314"/>
      <c r="F29" s="101"/>
      <c r="G29" s="102"/>
      <c r="H29" s="293"/>
      <c r="I29" s="109" t="s">
        <v>93</v>
      </c>
      <c r="J29" s="313">
        <v>0.5</v>
      </c>
      <c r="K29" s="313"/>
      <c r="L29" s="314"/>
      <c r="M29" s="103"/>
      <c r="N29" s="102"/>
      <c r="O29" s="311"/>
      <c r="P29" s="109" t="s">
        <v>93</v>
      </c>
      <c r="Q29" s="313">
        <v>0.5</v>
      </c>
      <c r="R29" s="313"/>
      <c r="S29" s="314"/>
      <c r="T29" s="103"/>
      <c r="U29" s="104"/>
      <c r="V29" s="293"/>
      <c r="W29" s="109" t="s">
        <v>94</v>
      </c>
      <c r="X29" s="313">
        <v>0.5</v>
      </c>
      <c r="Y29" s="313"/>
      <c r="Z29" s="314"/>
      <c r="AA29" s="105"/>
      <c r="AB29" s="102"/>
      <c r="AC29" s="293"/>
      <c r="AD29" s="109" t="s">
        <v>94</v>
      </c>
      <c r="AE29" s="313">
        <v>0.5</v>
      </c>
      <c r="AF29" s="313"/>
      <c r="AG29" s="315"/>
      <c r="AH29" s="106"/>
      <c r="AI29" s="107"/>
      <c r="AJ29" s="376"/>
      <c r="AK29" s="180" t="s">
        <v>94</v>
      </c>
      <c r="AL29" s="313">
        <v>0.5</v>
      </c>
      <c r="AM29" s="313"/>
      <c r="AN29" s="315"/>
      <c r="AO29" s="99"/>
      <c r="AP29" s="177"/>
      <c r="AQ29" s="126">
        <f t="shared" si="11"/>
        <v>0.625</v>
      </c>
      <c r="AV29" s="326"/>
      <c r="AW29" s="21"/>
      <c r="AX29" s="21"/>
      <c r="AY29" s="75" t="s">
        <v>23</v>
      </c>
      <c r="AZ29" s="74" t="s">
        <v>0</v>
      </c>
    </row>
    <row r="30" spans="1:43" s="40" customFormat="1" ht="18.75" customHeight="1">
      <c r="A30" s="306"/>
      <c r="B30" s="100" t="s">
        <v>96</v>
      </c>
      <c r="C30" s="313">
        <v>1</v>
      </c>
      <c r="D30" s="313"/>
      <c r="E30" s="314"/>
      <c r="F30" s="101"/>
      <c r="G30" s="102"/>
      <c r="H30" s="293"/>
      <c r="I30" s="100" t="s">
        <v>96</v>
      </c>
      <c r="J30" s="313">
        <v>0</v>
      </c>
      <c r="K30" s="313"/>
      <c r="L30" s="314"/>
      <c r="M30" s="103"/>
      <c r="N30" s="102"/>
      <c r="O30" s="311"/>
      <c r="P30" s="100" t="s">
        <v>96</v>
      </c>
      <c r="Q30" s="313">
        <v>0</v>
      </c>
      <c r="R30" s="313"/>
      <c r="S30" s="314"/>
      <c r="T30" s="103"/>
      <c r="U30" s="104"/>
      <c r="V30" s="293"/>
      <c r="W30" s="100" t="s">
        <v>96</v>
      </c>
      <c r="X30" s="313">
        <v>1</v>
      </c>
      <c r="Y30" s="313"/>
      <c r="Z30" s="314"/>
      <c r="AA30" s="105"/>
      <c r="AB30" s="102"/>
      <c r="AC30" s="293"/>
      <c r="AD30" s="100" t="s">
        <v>96</v>
      </c>
      <c r="AE30" s="313">
        <v>1</v>
      </c>
      <c r="AF30" s="313"/>
      <c r="AG30" s="314"/>
      <c r="AH30" s="106"/>
      <c r="AI30" s="107"/>
      <c r="AJ30" s="376"/>
      <c r="AK30" s="178" t="s">
        <v>96</v>
      </c>
      <c r="AL30" s="313">
        <v>1</v>
      </c>
      <c r="AM30" s="313"/>
      <c r="AN30" s="315"/>
      <c r="AO30" s="99"/>
      <c r="AP30" s="177"/>
      <c r="AQ30" s="126">
        <f t="shared" si="11"/>
        <v>0.75</v>
      </c>
    </row>
    <row r="31" spans="1:43" s="40" customFormat="1" ht="18.75" customHeight="1">
      <c r="A31" s="306"/>
      <c r="B31" s="100" t="s">
        <v>97</v>
      </c>
      <c r="C31" s="313">
        <v>0.6</v>
      </c>
      <c r="D31" s="313"/>
      <c r="E31" s="314"/>
      <c r="F31" s="101"/>
      <c r="G31" s="102"/>
      <c r="H31" s="293"/>
      <c r="I31" s="100" t="s">
        <v>97</v>
      </c>
      <c r="J31" s="313">
        <v>0.3</v>
      </c>
      <c r="K31" s="313"/>
      <c r="L31" s="314"/>
      <c r="M31" s="110"/>
      <c r="N31" s="102"/>
      <c r="O31" s="311"/>
      <c r="P31" s="100" t="s">
        <v>97</v>
      </c>
      <c r="Q31" s="313">
        <v>0</v>
      </c>
      <c r="R31" s="313"/>
      <c r="S31" s="314"/>
      <c r="T31" s="103"/>
      <c r="U31" s="104"/>
      <c r="V31" s="293"/>
      <c r="W31" s="100" t="s">
        <v>97</v>
      </c>
      <c r="X31" s="313">
        <v>0.5</v>
      </c>
      <c r="Y31" s="313"/>
      <c r="Z31" s="314"/>
      <c r="AA31" s="105"/>
      <c r="AB31" s="102"/>
      <c r="AC31" s="293"/>
      <c r="AD31" s="100" t="s">
        <v>97</v>
      </c>
      <c r="AE31" s="313">
        <v>0.6</v>
      </c>
      <c r="AF31" s="313"/>
      <c r="AG31" s="314"/>
      <c r="AH31" s="106"/>
      <c r="AI31" s="107"/>
      <c r="AJ31" s="376"/>
      <c r="AK31" s="178" t="s">
        <v>97</v>
      </c>
      <c r="AL31" s="313">
        <v>0.6</v>
      </c>
      <c r="AM31" s="313"/>
      <c r="AN31" s="315"/>
      <c r="AO31" s="99"/>
      <c r="AP31" s="177"/>
      <c r="AQ31" s="126">
        <f t="shared" si="11"/>
        <v>0.5</v>
      </c>
    </row>
    <row r="32" spans="1:43" s="40" customFormat="1" ht="18.75" customHeight="1" thickBot="1">
      <c r="A32" s="307"/>
      <c r="B32" s="111" t="s">
        <v>98</v>
      </c>
      <c r="C32" s="316">
        <f>C26*70+C27*75+C28*25+C29*45+C31*120+C30*60</f>
        <v>339.5</v>
      </c>
      <c r="D32" s="316"/>
      <c r="E32" s="317"/>
      <c r="F32" s="112"/>
      <c r="G32" s="113"/>
      <c r="H32" s="294"/>
      <c r="I32" s="111" t="s">
        <v>98</v>
      </c>
      <c r="J32" s="316">
        <f>J26*70+J27*75+J28*25+J29*45+J31*120+J30*60</f>
        <v>317</v>
      </c>
      <c r="K32" s="316"/>
      <c r="L32" s="317"/>
      <c r="M32" s="114"/>
      <c r="N32" s="113"/>
      <c r="O32" s="312"/>
      <c r="P32" s="111" t="s">
        <v>98</v>
      </c>
      <c r="Q32" s="316">
        <f>Q26*70+Q27*75+Q28*25+Q29*45+Q31*120+Q30*60</f>
        <v>257.5</v>
      </c>
      <c r="R32" s="316"/>
      <c r="S32" s="317"/>
      <c r="T32" s="114"/>
      <c r="U32" s="115"/>
      <c r="V32" s="294"/>
      <c r="W32" s="111" t="s">
        <v>98</v>
      </c>
      <c r="X32" s="316">
        <f>X26*70+X27*75+X28*25+X29*45+X31*120+X30*60</f>
        <v>295</v>
      </c>
      <c r="Y32" s="316"/>
      <c r="Z32" s="317"/>
      <c r="AA32" s="116"/>
      <c r="AB32" s="113"/>
      <c r="AC32" s="294"/>
      <c r="AD32" s="111" t="s">
        <v>98</v>
      </c>
      <c r="AE32" s="316">
        <f>AE26*70+AE27*75+AE28*25+AE29*45+AE31*120+AE30*60</f>
        <v>342</v>
      </c>
      <c r="AF32" s="316"/>
      <c r="AG32" s="317"/>
      <c r="AH32" s="117"/>
      <c r="AI32" s="118"/>
      <c r="AJ32" s="377"/>
      <c r="AK32" s="183" t="s">
        <v>98</v>
      </c>
      <c r="AL32" s="316">
        <f>AL26*70+AL27*75+AL28*25+AL29*45+AL31*120+AL30*60</f>
        <v>351</v>
      </c>
      <c r="AM32" s="316"/>
      <c r="AN32" s="318"/>
      <c r="AO32" s="181"/>
      <c r="AP32" s="182"/>
      <c r="AQ32" s="126">
        <f t="shared" si="11"/>
        <v>387.75</v>
      </c>
    </row>
    <row r="33" spans="1:42" s="50" customFormat="1" ht="18.75" customHeight="1">
      <c r="A33" s="80"/>
      <c r="B33" s="81"/>
      <c r="C33" s="81"/>
      <c r="D33" s="119"/>
      <c r="E33" s="119"/>
      <c r="F33" s="82"/>
      <c r="G33" s="81"/>
      <c r="H33" s="83"/>
      <c r="I33" s="81"/>
      <c r="J33" s="81"/>
      <c r="K33" s="119"/>
      <c r="L33" s="119"/>
      <c r="M33" s="82"/>
      <c r="N33" s="81"/>
      <c r="O33" s="84"/>
      <c r="P33" s="80"/>
      <c r="Q33" s="80"/>
      <c r="R33" s="88"/>
      <c r="S33" s="88"/>
      <c r="T33" s="82"/>
      <c r="U33" s="81"/>
      <c r="V33" s="83"/>
      <c r="W33" s="80"/>
      <c r="X33" s="80"/>
      <c r="Y33" s="88"/>
      <c r="Z33" s="88"/>
      <c r="AA33" s="82"/>
      <c r="AB33" s="81"/>
      <c r="AC33" s="80"/>
      <c r="AD33" s="81"/>
      <c r="AE33" s="81"/>
      <c r="AF33" s="119"/>
      <c r="AG33" s="119"/>
      <c r="AH33" s="82"/>
      <c r="AI33" s="81"/>
      <c r="AJ33" s="80"/>
      <c r="AK33" s="81"/>
      <c r="AL33" s="81"/>
      <c r="AM33" s="119"/>
      <c r="AN33" s="119"/>
      <c r="AO33" s="82"/>
      <c r="AP33" s="81"/>
    </row>
    <row r="34" spans="1:52" s="50" customFormat="1" ht="19.5" customHeight="1">
      <c r="A34" s="279" t="s">
        <v>55</v>
      </c>
      <c r="B34" s="279"/>
      <c r="C34" s="279"/>
      <c r="D34" s="279"/>
      <c r="E34" s="279"/>
      <c r="F34" s="279"/>
      <c r="G34" s="279"/>
      <c r="H34" s="279"/>
      <c r="I34" s="279"/>
      <c r="J34" s="279"/>
      <c r="K34" s="279"/>
      <c r="L34" s="279"/>
      <c r="M34" s="279"/>
      <c r="N34" s="279"/>
      <c r="O34" s="279"/>
      <c r="P34" s="279"/>
      <c r="Q34" s="279"/>
      <c r="R34" s="279"/>
      <c r="S34" s="279"/>
      <c r="T34" s="279"/>
      <c r="U34" s="279"/>
      <c r="V34" s="279"/>
      <c r="W34" s="279"/>
      <c r="X34" s="279"/>
      <c r="Y34" s="279"/>
      <c r="Z34" s="279"/>
      <c r="AA34" s="279"/>
      <c r="AB34" s="279"/>
      <c r="AC34" s="279"/>
      <c r="AD34" s="279"/>
      <c r="AE34" s="279"/>
      <c r="AF34" s="279"/>
      <c r="AG34" s="279"/>
      <c r="AH34" s="279"/>
      <c r="AI34" s="120"/>
      <c r="AJ34" s="64"/>
      <c r="AK34" s="64"/>
      <c r="AL34" s="65"/>
      <c r="AM34" s="65"/>
      <c r="AN34" s="65"/>
      <c r="AO34" s="120"/>
      <c r="AP34" s="63"/>
      <c r="AQ34" s="65"/>
      <c r="AR34" s="65"/>
      <c r="AS34" s="65"/>
      <c r="AT34" s="65"/>
      <c r="AU34" s="65"/>
      <c r="AV34" s="65"/>
      <c r="AW34" s="65"/>
      <c r="AX34" s="65"/>
      <c r="AY34" s="65"/>
      <c r="AZ34" s="65"/>
    </row>
    <row r="35" spans="1:52" s="50" customFormat="1" ht="22.5" customHeight="1">
      <c r="A35" s="299" t="s">
        <v>67</v>
      </c>
      <c r="B35" s="299"/>
      <c r="C35" s="299"/>
      <c r="D35" s="299"/>
      <c r="E35" s="299"/>
      <c r="F35" s="299"/>
      <c r="G35" s="299"/>
      <c r="H35" s="299"/>
      <c r="I35" s="299"/>
      <c r="J35" s="299"/>
      <c r="K35" s="299"/>
      <c r="L35" s="299"/>
      <c r="M35" s="299"/>
      <c r="N35" s="299"/>
      <c r="O35" s="299"/>
      <c r="P35" s="299"/>
      <c r="Q35" s="299"/>
      <c r="R35" s="299"/>
      <c r="S35" s="299"/>
      <c r="T35" s="299"/>
      <c r="U35" s="299"/>
      <c r="V35" s="299"/>
      <c r="W35" s="299"/>
      <c r="X35" s="299"/>
      <c r="Y35" s="299"/>
      <c r="Z35" s="299"/>
      <c r="AA35" s="299"/>
      <c r="AB35" s="299"/>
      <c r="AC35" s="299"/>
      <c r="AD35" s="299"/>
      <c r="AE35" s="299"/>
      <c r="AF35" s="299"/>
      <c r="AG35" s="299"/>
      <c r="AH35" s="299"/>
      <c r="AI35" s="121"/>
      <c r="AJ35" s="66"/>
      <c r="AK35" s="66"/>
      <c r="AL35" s="65"/>
      <c r="AM35" s="65"/>
      <c r="AN35" s="65"/>
      <c r="AO35" s="121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</row>
    <row r="36" ht="22.5" customHeight="1"/>
  </sheetData>
  <sheetProtection/>
  <mergeCells count="101">
    <mergeCell ref="A1:L1"/>
    <mergeCell ref="AE31:AG31"/>
    <mergeCell ref="J28:L28"/>
    <mergeCell ref="AJ6:AJ16"/>
    <mergeCell ref="AC18:AC25"/>
    <mergeCell ref="Q26:S26"/>
    <mergeCell ref="O17:S17"/>
    <mergeCell ref="V17:Z17"/>
    <mergeCell ref="AC17:AG17"/>
    <mergeCell ref="A35:AH35"/>
    <mergeCell ref="X26:Z26"/>
    <mergeCell ref="AA26:AB26"/>
    <mergeCell ref="AC26:AC32"/>
    <mergeCell ref="AE26:AG26"/>
    <mergeCell ref="AH26:AI26"/>
    <mergeCell ref="A34:AH34"/>
    <mergeCell ref="T26:U26"/>
    <mergeCell ref="V26:V32"/>
    <mergeCell ref="A26:A32"/>
    <mergeCell ref="J26:L26"/>
    <mergeCell ref="M26:N26"/>
    <mergeCell ref="H17:L17"/>
    <mergeCell ref="C31:E31"/>
    <mergeCell ref="J31:L31"/>
    <mergeCell ref="C30:E30"/>
    <mergeCell ref="J30:L30"/>
    <mergeCell ref="A18:A25"/>
    <mergeCell ref="H18:H25"/>
    <mergeCell ref="O18:O25"/>
    <mergeCell ref="V18:V25"/>
    <mergeCell ref="C32:E32"/>
    <mergeCell ref="J32:L32"/>
    <mergeCell ref="Q32:S32"/>
    <mergeCell ref="C26:E26"/>
    <mergeCell ref="F26:G26"/>
    <mergeCell ref="H26:H32"/>
    <mergeCell ref="X32:Z32"/>
    <mergeCell ref="AE32:AG32"/>
    <mergeCell ref="Q31:S31"/>
    <mergeCell ref="X31:Z31"/>
    <mergeCell ref="O26:O32"/>
    <mergeCell ref="AJ5:AN5"/>
    <mergeCell ref="AJ17:AN17"/>
    <mergeCell ref="AJ18:AJ25"/>
    <mergeCell ref="Q30:S30"/>
    <mergeCell ref="X30:Z30"/>
    <mergeCell ref="AE30:AG30"/>
    <mergeCell ref="AE27:AG27"/>
    <mergeCell ref="C28:E28"/>
    <mergeCell ref="A17:E17"/>
    <mergeCell ref="Q28:S28"/>
    <mergeCell ref="X28:Z28"/>
    <mergeCell ref="AE28:AG28"/>
    <mergeCell ref="C29:E29"/>
    <mergeCell ref="J29:L29"/>
    <mergeCell ref="Q29:S29"/>
    <mergeCell ref="X29:Z29"/>
    <mergeCell ref="AE29:AG29"/>
    <mergeCell ref="AK2:AN2"/>
    <mergeCell ref="AK4:AN4"/>
    <mergeCell ref="AJ26:AJ32"/>
    <mergeCell ref="AL26:AN26"/>
    <mergeCell ref="AL27:AN27"/>
    <mergeCell ref="AL28:AN28"/>
    <mergeCell ref="AL29:AN29"/>
    <mergeCell ref="AL30:AN30"/>
    <mergeCell ref="AJ2:AJ4"/>
    <mergeCell ref="C27:E27"/>
    <mergeCell ref="J27:L27"/>
    <mergeCell ref="Q27:S27"/>
    <mergeCell ref="AL31:AN31"/>
    <mergeCell ref="AL32:AN32"/>
    <mergeCell ref="H6:H16"/>
    <mergeCell ref="O6:O16"/>
    <mergeCell ref="V6:V16"/>
    <mergeCell ref="X27:Z27"/>
    <mergeCell ref="A5:E5"/>
    <mergeCell ref="H5:L5"/>
    <mergeCell ref="O5:S5"/>
    <mergeCell ref="V5:Z5"/>
    <mergeCell ref="AC5:AG5"/>
    <mergeCell ref="AC6:AC16"/>
    <mergeCell ref="A6:A16"/>
    <mergeCell ref="B4:E4"/>
    <mergeCell ref="I4:L4"/>
    <mergeCell ref="P4:S4"/>
    <mergeCell ref="W4:Z4"/>
    <mergeCell ref="AD4:AG4"/>
    <mergeCell ref="V2:V4"/>
    <mergeCell ref="W2:Z2"/>
    <mergeCell ref="AC2:AC4"/>
    <mergeCell ref="AU6:AU16"/>
    <mergeCell ref="AV19:AV29"/>
    <mergeCell ref="BA9:BA16"/>
    <mergeCell ref="A2:A4"/>
    <mergeCell ref="B2:E2"/>
    <mergeCell ref="H2:H4"/>
    <mergeCell ref="I2:L2"/>
    <mergeCell ref="O2:O4"/>
    <mergeCell ref="P2:S2"/>
    <mergeCell ref="AD2:AG2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Q35"/>
  <sheetViews>
    <sheetView tabSelected="1" view="pageBreakPreview" zoomScaleSheetLayoutView="100" zoomScalePageLayoutView="0" workbookViewId="0" topLeftCell="A2">
      <selection activeCell="X19" sqref="X19"/>
    </sheetView>
  </sheetViews>
  <sheetFormatPr defaultColWidth="6.125" defaultRowHeight="16.5"/>
  <cols>
    <col min="1" max="1" width="3.75390625" style="67" customWidth="1"/>
    <col min="2" max="2" width="18.375" style="68" customWidth="1"/>
    <col min="3" max="3" width="6.125" style="68" customWidth="1"/>
    <col min="4" max="5" width="5.625" style="68" customWidth="1"/>
    <col min="6" max="6" width="6.125" style="69" customWidth="1"/>
    <col min="7" max="7" width="6.125" style="70" customWidth="1"/>
    <col min="8" max="8" width="3.625" style="67" customWidth="1"/>
    <col min="9" max="9" width="18.625" style="68" customWidth="1"/>
    <col min="10" max="10" width="6.125" style="68" customWidth="1"/>
    <col min="11" max="12" width="5.625" style="68" customWidth="1"/>
    <col min="13" max="13" width="6.125" style="69" customWidth="1"/>
    <col min="14" max="14" width="6.125" style="70" customWidth="1"/>
    <col min="15" max="15" width="3.875" style="67" customWidth="1"/>
    <col min="16" max="16" width="19.125" style="68" customWidth="1"/>
    <col min="17" max="17" width="6.125" style="68" customWidth="1"/>
    <col min="18" max="19" width="5.625" style="68" customWidth="1"/>
    <col min="20" max="20" width="6.125" style="69" customWidth="1"/>
    <col min="21" max="21" width="6.125" style="70" customWidth="1"/>
    <col min="22" max="22" width="3.625" style="71" customWidth="1"/>
    <col min="23" max="23" width="16.125" style="68" customWidth="1"/>
    <col min="24" max="24" width="6.125" style="68" customWidth="1"/>
    <col min="25" max="26" width="5.625" style="68" customWidth="1"/>
    <col min="27" max="27" width="6.125" style="69" customWidth="1"/>
    <col min="28" max="28" width="6.125" style="70" customWidth="1"/>
    <col min="29" max="29" width="4.125" style="67" customWidth="1"/>
    <col min="30" max="30" width="16.125" style="68" customWidth="1"/>
    <col min="31" max="31" width="6.125" style="68" customWidth="1"/>
    <col min="32" max="33" width="5.625" style="68" customWidth="1"/>
    <col min="34" max="34" width="6.125" style="72" customWidth="1"/>
    <col min="35" max="16384" width="6.125" style="73" customWidth="1"/>
  </cols>
  <sheetData>
    <row r="1" spans="1:34" s="90" customFormat="1" ht="30" customHeight="1">
      <c r="A1" s="322" t="s">
        <v>233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230">
        <f>'[1]第五周'!$O$1</f>
        <v>6</v>
      </c>
      <c r="N1" s="231"/>
      <c r="O1" s="232">
        <f>'第四周'!O1+1</f>
        <v>18</v>
      </c>
      <c r="P1" s="233" t="s">
        <v>222</v>
      </c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  <c r="AC1" s="233"/>
      <c r="AD1" s="233"/>
      <c r="AE1" s="89">
        <v>72</v>
      </c>
      <c r="AF1" s="89">
        <v>72</v>
      </c>
      <c r="AG1" s="89"/>
      <c r="AH1" s="89"/>
    </row>
    <row r="2" spans="1:34" s="40" customFormat="1" ht="18.75" customHeight="1">
      <c r="A2" s="278" t="s">
        <v>27</v>
      </c>
      <c r="B2" s="325">
        <f>'第四周'!B2+7</f>
        <v>44921</v>
      </c>
      <c r="C2" s="325"/>
      <c r="D2" s="325"/>
      <c r="E2" s="325"/>
      <c r="F2" s="30"/>
      <c r="G2" s="31"/>
      <c r="H2" s="278" t="s">
        <v>27</v>
      </c>
      <c r="I2" s="298">
        <f>B2+1</f>
        <v>44922</v>
      </c>
      <c r="J2" s="298"/>
      <c r="K2" s="298"/>
      <c r="L2" s="298"/>
      <c r="M2" s="32"/>
      <c r="N2" s="33"/>
      <c r="O2" s="290" t="s">
        <v>27</v>
      </c>
      <c r="P2" s="289">
        <f>I2+1</f>
        <v>44923</v>
      </c>
      <c r="Q2" s="289"/>
      <c r="R2" s="289"/>
      <c r="S2" s="289"/>
      <c r="T2" s="34"/>
      <c r="U2" s="35"/>
      <c r="V2" s="290" t="s">
        <v>27</v>
      </c>
      <c r="W2" s="291">
        <f>P2+1</f>
        <v>44924</v>
      </c>
      <c r="X2" s="291"/>
      <c r="Y2" s="291"/>
      <c r="Z2" s="291"/>
      <c r="AA2" s="36"/>
      <c r="AB2" s="37"/>
      <c r="AC2" s="290" t="s">
        <v>27</v>
      </c>
      <c r="AD2" s="263">
        <f>W2+1</f>
        <v>44925</v>
      </c>
      <c r="AE2" s="263"/>
      <c r="AF2" s="263"/>
      <c r="AG2" s="263"/>
      <c r="AH2" s="38"/>
    </row>
    <row r="3" spans="1:35" s="40" customFormat="1" ht="18.75" customHeight="1">
      <c r="A3" s="278"/>
      <c r="B3" s="41" t="s">
        <v>28</v>
      </c>
      <c r="C3" s="41" t="s">
        <v>29</v>
      </c>
      <c r="D3" s="42" t="s">
        <v>30</v>
      </c>
      <c r="E3" s="42" t="s">
        <v>31</v>
      </c>
      <c r="F3" s="43" t="s">
        <v>32</v>
      </c>
      <c r="G3" s="41" t="s">
        <v>33</v>
      </c>
      <c r="H3" s="278"/>
      <c r="I3" s="41" t="s">
        <v>28</v>
      </c>
      <c r="J3" s="41" t="s">
        <v>29</v>
      </c>
      <c r="K3" s="42" t="s">
        <v>30</v>
      </c>
      <c r="L3" s="42" t="s">
        <v>31</v>
      </c>
      <c r="M3" s="43" t="s">
        <v>32</v>
      </c>
      <c r="N3" s="44" t="s">
        <v>33</v>
      </c>
      <c r="O3" s="290"/>
      <c r="P3" s="41" t="s">
        <v>28</v>
      </c>
      <c r="Q3" s="41" t="s">
        <v>29</v>
      </c>
      <c r="R3" s="42" t="s">
        <v>30</v>
      </c>
      <c r="S3" s="42" t="s">
        <v>31</v>
      </c>
      <c r="T3" s="43" t="s">
        <v>32</v>
      </c>
      <c r="U3" s="44" t="s">
        <v>33</v>
      </c>
      <c r="V3" s="290"/>
      <c r="W3" s="41" t="s">
        <v>28</v>
      </c>
      <c r="X3" s="41" t="s">
        <v>29</v>
      </c>
      <c r="Y3" s="42" t="s">
        <v>30</v>
      </c>
      <c r="Z3" s="42" t="s">
        <v>31</v>
      </c>
      <c r="AA3" s="43" t="s">
        <v>32</v>
      </c>
      <c r="AB3" s="44" t="s">
        <v>33</v>
      </c>
      <c r="AC3" s="290"/>
      <c r="AD3" s="41" t="s">
        <v>28</v>
      </c>
      <c r="AE3" s="41" t="s">
        <v>29</v>
      </c>
      <c r="AF3" s="42" t="s">
        <v>30</v>
      </c>
      <c r="AG3" s="42" t="s">
        <v>31</v>
      </c>
      <c r="AH3" s="43" t="s">
        <v>32</v>
      </c>
      <c r="AI3" s="44" t="s">
        <v>33</v>
      </c>
    </row>
    <row r="4" spans="1:35" s="50" customFormat="1" ht="18.75" customHeight="1" hidden="1">
      <c r="A4" s="278"/>
      <c r="B4" s="262" t="s">
        <v>34</v>
      </c>
      <c r="C4" s="262"/>
      <c r="D4" s="262"/>
      <c r="E4" s="262"/>
      <c r="F4" s="45"/>
      <c r="G4" s="46"/>
      <c r="H4" s="278"/>
      <c r="I4" s="262" t="s">
        <v>35</v>
      </c>
      <c r="J4" s="262"/>
      <c r="K4" s="262"/>
      <c r="L4" s="262"/>
      <c r="M4" s="45"/>
      <c r="N4" s="47"/>
      <c r="O4" s="290"/>
      <c r="P4" s="262" t="s">
        <v>36</v>
      </c>
      <c r="Q4" s="262"/>
      <c r="R4" s="262"/>
      <c r="S4" s="262"/>
      <c r="T4" s="43"/>
      <c r="U4" s="48"/>
      <c r="V4" s="290"/>
      <c r="W4" s="262" t="s">
        <v>37</v>
      </c>
      <c r="X4" s="262"/>
      <c r="Y4" s="262"/>
      <c r="Z4" s="262"/>
      <c r="AA4" s="45"/>
      <c r="AB4" s="47"/>
      <c r="AC4" s="290"/>
      <c r="AD4" s="270" t="s">
        <v>38</v>
      </c>
      <c r="AE4" s="270"/>
      <c r="AF4" s="270"/>
      <c r="AG4" s="270"/>
      <c r="AH4" s="45"/>
      <c r="AI4" s="47"/>
    </row>
    <row r="5" spans="1:35" s="50" customFormat="1" ht="18.75" customHeight="1">
      <c r="A5" s="277" t="s">
        <v>39</v>
      </c>
      <c r="B5" s="273"/>
      <c r="C5" s="273"/>
      <c r="D5" s="273"/>
      <c r="E5" s="273"/>
      <c r="F5" s="85"/>
      <c r="G5" s="86"/>
      <c r="H5" s="277" t="s">
        <v>39</v>
      </c>
      <c r="I5" s="273"/>
      <c r="J5" s="273"/>
      <c r="K5" s="273"/>
      <c r="L5" s="273"/>
      <c r="M5" s="85"/>
      <c r="N5" s="87"/>
      <c r="O5" s="272" t="s">
        <v>39</v>
      </c>
      <c r="P5" s="273"/>
      <c r="Q5" s="273"/>
      <c r="R5" s="273"/>
      <c r="S5" s="273"/>
      <c r="T5" s="85"/>
      <c r="U5" s="87"/>
      <c r="V5" s="272" t="s">
        <v>39</v>
      </c>
      <c r="W5" s="273"/>
      <c r="X5" s="273"/>
      <c r="Y5" s="273"/>
      <c r="Z5" s="273"/>
      <c r="AA5" s="85"/>
      <c r="AB5" s="87"/>
      <c r="AC5" s="272" t="s">
        <v>39</v>
      </c>
      <c r="AD5" s="273"/>
      <c r="AE5" s="273"/>
      <c r="AF5" s="273"/>
      <c r="AG5" s="273"/>
      <c r="AH5" s="85"/>
      <c r="AI5" s="87"/>
    </row>
    <row r="6" spans="1:35" s="50" customFormat="1" ht="18.75" customHeight="1">
      <c r="A6" s="303" t="s">
        <v>202</v>
      </c>
      <c r="B6" s="184" t="s">
        <v>203</v>
      </c>
      <c r="C6" s="184">
        <v>1</v>
      </c>
      <c r="D6" s="75">
        <f>ROUND($AE$1*C6,0)</f>
        <v>72</v>
      </c>
      <c r="E6" s="74" t="s">
        <v>59</v>
      </c>
      <c r="F6" s="51"/>
      <c r="G6" s="52">
        <f>D6*F6</f>
        <v>0</v>
      </c>
      <c r="H6" s="266" t="s">
        <v>213</v>
      </c>
      <c r="I6" s="186" t="s">
        <v>220</v>
      </c>
      <c r="J6" s="21">
        <v>35</v>
      </c>
      <c r="K6" s="75">
        <f>ROUND($AE$1*J6/500,0)</f>
        <v>5</v>
      </c>
      <c r="L6" s="74" t="s">
        <v>22</v>
      </c>
      <c r="M6" s="51"/>
      <c r="N6" s="52">
        <f>K6*M6</f>
        <v>0</v>
      </c>
      <c r="O6" s="266" t="s">
        <v>176</v>
      </c>
      <c r="P6" s="53" t="s">
        <v>79</v>
      </c>
      <c r="Q6" s="53">
        <v>2</v>
      </c>
      <c r="R6" s="75">
        <f>ROUND($AE$1*Q6/1000,1)</f>
        <v>0.1</v>
      </c>
      <c r="S6" s="74" t="s">
        <v>0</v>
      </c>
      <c r="T6" s="51"/>
      <c r="U6" s="52">
        <f>R6*T6</f>
        <v>0</v>
      </c>
      <c r="V6" s="266" t="s">
        <v>281</v>
      </c>
      <c r="W6" s="53" t="s">
        <v>280</v>
      </c>
      <c r="X6" s="201">
        <v>84</v>
      </c>
      <c r="Y6" s="164">
        <f>ROUND($AE$1*X6/1000,1)</f>
        <v>6</v>
      </c>
      <c r="Z6" s="74" t="s">
        <v>0</v>
      </c>
      <c r="AA6" s="51"/>
      <c r="AB6" s="52">
        <f>Y6*AA6</f>
        <v>0</v>
      </c>
      <c r="AC6" s="276" t="s">
        <v>122</v>
      </c>
      <c r="AD6" s="21" t="s">
        <v>205</v>
      </c>
      <c r="AE6" s="21">
        <v>50</v>
      </c>
      <c r="AF6" s="75">
        <f>ROUND($AF$1*AE6/1000,1)</f>
        <v>3.6</v>
      </c>
      <c r="AG6" s="96" t="s">
        <v>0</v>
      </c>
      <c r="AH6" s="51"/>
      <c r="AI6" s="52">
        <f>AF6*AH6</f>
        <v>0</v>
      </c>
    </row>
    <row r="7" spans="1:35" s="50" customFormat="1" ht="18.75" customHeight="1">
      <c r="A7" s="304"/>
      <c r="B7" s="184" t="s">
        <v>154</v>
      </c>
      <c r="C7" s="21"/>
      <c r="D7" s="124"/>
      <c r="E7" s="125"/>
      <c r="F7" s="51"/>
      <c r="G7" s="52"/>
      <c r="H7" s="267"/>
      <c r="I7" s="21" t="s">
        <v>208</v>
      </c>
      <c r="J7" s="21">
        <v>32</v>
      </c>
      <c r="K7" s="75" t="s">
        <v>23</v>
      </c>
      <c r="L7" s="74" t="s">
        <v>0</v>
      </c>
      <c r="M7" s="51"/>
      <c r="N7" s="52" t="e">
        <f aca="true" t="shared" si="0" ref="N7:N16">K7*M7</f>
        <v>#VALUE!</v>
      </c>
      <c r="O7" s="267"/>
      <c r="P7" s="53" t="s">
        <v>177</v>
      </c>
      <c r="Q7" s="53">
        <v>25</v>
      </c>
      <c r="R7" s="75">
        <f>ROUND($AE$1*Q7/600,1)</f>
        <v>3</v>
      </c>
      <c r="S7" s="74" t="s">
        <v>22</v>
      </c>
      <c r="T7" s="51"/>
      <c r="U7" s="52">
        <f>R7*T7</f>
        <v>0</v>
      </c>
      <c r="V7" s="267"/>
      <c r="W7" s="53" t="s">
        <v>41</v>
      </c>
      <c r="X7" s="201">
        <v>10</v>
      </c>
      <c r="Y7" s="164">
        <f>ROUND($AE$1*X7/1000,1)</f>
        <v>0.7</v>
      </c>
      <c r="Z7" s="74" t="s">
        <v>0</v>
      </c>
      <c r="AA7" s="51"/>
      <c r="AB7" s="52">
        <f aca="true" t="shared" si="1" ref="AB7:AB15">Y7*AA7</f>
        <v>0</v>
      </c>
      <c r="AC7" s="370"/>
      <c r="AD7" s="21" t="s">
        <v>135</v>
      </c>
      <c r="AE7" s="21">
        <v>15</v>
      </c>
      <c r="AF7" s="75">
        <v>3</v>
      </c>
      <c r="AG7" s="74" t="s">
        <v>0</v>
      </c>
      <c r="AH7" s="51"/>
      <c r="AI7" s="52">
        <f aca="true" t="shared" si="2" ref="AI7:AI15">AF7*AH7</f>
        <v>0</v>
      </c>
    </row>
    <row r="8" spans="1:35" s="50" customFormat="1" ht="18.75" customHeight="1">
      <c r="A8" s="304"/>
      <c r="B8" s="21" t="s">
        <v>264</v>
      </c>
      <c r="C8" s="21">
        <v>85</v>
      </c>
      <c r="D8" s="75">
        <f>ROUND($AE$1*C8/1000,0)</f>
        <v>6</v>
      </c>
      <c r="E8" s="52" t="s">
        <v>52</v>
      </c>
      <c r="F8" s="51"/>
      <c r="G8" s="52">
        <f>D8*F8</f>
        <v>0</v>
      </c>
      <c r="H8" s="267"/>
      <c r="I8" s="21" t="s">
        <v>209</v>
      </c>
      <c r="J8" s="21">
        <v>6</v>
      </c>
      <c r="K8" s="75">
        <f>ROUND($AE$1*J8/1000,1)</f>
        <v>0.4</v>
      </c>
      <c r="L8" s="74" t="s">
        <v>0</v>
      </c>
      <c r="M8" s="51"/>
      <c r="N8" s="52">
        <f t="shared" si="0"/>
        <v>0</v>
      </c>
      <c r="O8" s="267"/>
      <c r="P8" s="53" t="s">
        <v>174</v>
      </c>
      <c r="Q8" s="53">
        <v>10</v>
      </c>
      <c r="R8" s="75">
        <f>ROUND($AE$1*Q8/1000,1)</f>
        <v>0.7</v>
      </c>
      <c r="S8" s="74" t="s">
        <v>0</v>
      </c>
      <c r="T8" s="51"/>
      <c r="U8" s="52">
        <f aca="true" t="shared" si="3" ref="U8:U13">R8*T8</f>
        <v>0</v>
      </c>
      <c r="V8" s="267"/>
      <c r="W8" s="21"/>
      <c r="X8" s="21"/>
      <c r="Y8" s="75"/>
      <c r="Z8" s="74"/>
      <c r="AA8" s="51"/>
      <c r="AB8" s="52">
        <f t="shared" si="1"/>
        <v>0</v>
      </c>
      <c r="AC8" s="370"/>
      <c r="AD8" s="21" t="s">
        <v>120</v>
      </c>
      <c r="AE8" s="21">
        <v>5</v>
      </c>
      <c r="AF8" s="75">
        <f>ROUND($AF$1*AE8/1000,1)</f>
        <v>0.4</v>
      </c>
      <c r="AG8" s="74" t="s">
        <v>0</v>
      </c>
      <c r="AH8" s="51"/>
      <c r="AI8" s="52">
        <f t="shared" si="2"/>
        <v>0</v>
      </c>
    </row>
    <row r="9" spans="1:35" s="50" customFormat="1" ht="18.75" customHeight="1">
      <c r="A9" s="304"/>
      <c r="B9" s="241" t="s">
        <v>232</v>
      </c>
      <c r="C9" s="56">
        <v>45</v>
      </c>
      <c r="D9" s="75">
        <f>ROUND($AE$1*C9/1000,0)</f>
        <v>3</v>
      </c>
      <c r="E9" s="52" t="s">
        <v>52</v>
      </c>
      <c r="F9" s="51"/>
      <c r="G9" s="52">
        <f aca="true" t="shared" si="4" ref="G9:G16">D9*F9</f>
        <v>0</v>
      </c>
      <c r="H9" s="267"/>
      <c r="I9" s="21" t="s">
        <v>282</v>
      </c>
      <c r="J9" s="21">
        <v>25</v>
      </c>
      <c r="K9" s="75">
        <f>ROUND($AE$1*J9/1000,1)</f>
        <v>1.8</v>
      </c>
      <c r="L9" s="74" t="s">
        <v>0</v>
      </c>
      <c r="M9" s="51"/>
      <c r="N9" s="52">
        <f t="shared" si="0"/>
        <v>0</v>
      </c>
      <c r="O9" s="267"/>
      <c r="P9" s="21" t="s">
        <v>41</v>
      </c>
      <c r="Q9" s="53">
        <v>15</v>
      </c>
      <c r="R9" s="75">
        <f>ROUND($AE$1*Q9/700,0)</f>
        <v>2</v>
      </c>
      <c r="S9" s="74" t="s">
        <v>25</v>
      </c>
      <c r="T9" s="51"/>
      <c r="U9" s="52">
        <f t="shared" si="3"/>
        <v>0</v>
      </c>
      <c r="V9" s="267"/>
      <c r="W9" s="241" t="s">
        <v>232</v>
      </c>
      <c r="X9" s="243">
        <v>120</v>
      </c>
      <c r="Y9" s="244" t="s">
        <v>23</v>
      </c>
      <c r="Z9" s="77" t="s">
        <v>52</v>
      </c>
      <c r="AA9" s="51"/>
      <c r="AB9" s="52" t="e">
        <f t="shared" si="1"/>
        <v>#VALUE!</v>
      </c>
      <c r="AC9" s="370"/>
      <c r="AD9" s="21" t="s">
        <v>70</v>
      </c>
      <c r="AE9" s="21">
        <v>8</v>
      </c>
      <c r="AF9" s="75">
        <f>ROUND($AF$1*AE9/1000,1)</f>
        <v>0.6</v>
      </c>
      <c r="AG9" s="74" t="s">
        <v>0</v>
      </c>
      <c r="AH9" s="51"/>
      <c r="AI9" s="52">
        <f t="shared" si="2"/>
        <v>0</v>
      </c>
    </row>
    <row r="10" spans="1:35" s="50" customFormat="1" ht="18.75" customHeight="1">
      <c r="A10" s="304"/>
      <c r="B10" s="148"/>
      <c r="C10" s="148"/>
      <c r="D10" s="77"/>
      <c r="E10" s="145"/>
      <c r="F10" s="51"/>
      <c r="G10" s="52">
        <f t="shared" si="4"/>
        <v>0</v>
      </c>
      <c r="H10" s="267"/>
      <c r="I10" s="21" t="s">
        <v>40</v>
      </c>
      <c r="J10" s="21">
        <v>8</v>
      </c>
      <c r="K10" s="75">
        <f>ROUND($AE$1*J10/1000,1)</f>
        <v>0.6</v>
      </c>
      <c r="L10" s="74" t="s">
        <v>0</v>
      </c>
      <c r="M10" s="51"/>
      <c r="N10" s="52">
        <f t="shared" si="0"/>
        <v>0</v>
      </c>
      <c r="O10" s="267"/>
      <c r="P10" s="53" t="s">
        <v>175</v>
      </c>
      <c r="Q10" s="53">
        <v>1</v>
      </c>
      <c r="R10" s="75" t="s">
        <v>23</v>
      </c>
      <c r="S10" s="74" t="s">
        <v>0</v>
      </c>
      <c r="T10" s="51"/>
      <c r="U10" s="52" t="e">
        <f t="shared" si="3"/>
        <v>#VALUE!</v>
      </c>
      <c r="V10" s="267"/>
      <c r="W10" s="242" t="s">
        <v>247</v>
      </c>
      <c r="X10" s="155"/>
      <c r="Y10" s="91"/>
      <c r="Z10" s="94"/>
      <c r="AA10" s="51"/>
      <c r="AB10" s="52">
        <f t="shared" si="1"/>
        <v>0</v>
      </c>
      <c r="AC10" s="370"/>
      <c r="AD10" s="21" t="s">
        <v>121</v>
      </c>
      <c r="AE10" s="21">
        <v>0</v>
      </c>
      <c r="AF10" s="75" t="s">
        <v>23</v>
      </c>
      <c r="AG10" s="74" t="s">
        <v>0</v>
      </c>
      <c r="AH10" s="51"/>
      <c r="AI10" s="52" t="e">
        <f t="shared" si="2"/>
        <v>#VALUE!</v>
      </c>
    </row>
    <row r="11" spans="1:35" s="50" customFormat="1" ht="18.75" customHeight="1">
      <c r="A11" s="304"/>
      <c r="B11" s="148"/>
      <c r="C11" s="148"/>
      <c r="D11" s="77"/>
      <c r="E11" s="145"/>
      <c r="F11" s="51"/>
      <c r="G11" s="52">
        <f t="shared" si="4"/>
        <v>0</v>
      </c>
      <c r="H11" s="267"/>
      <c r="I11" s="59" t="s">
        <v>210</v>
      </c>
      <c r="J11" s="21">
        <v>5</v>
      </c>
      <c r="K11" s="75" t="s">
        <v>23</v>
      </c>
      <c r="L11" s="74" t="s">
        <v>21</v>
      </c>
      <c r="M11" s="51"/>
      <c r="N11" s="52" t="e">
        <f t="shared" si="0"/>
        <v>#VALUE!</v>
      </c>
      <c r="O11" s="267"/>
      <c r="P11" s="208" t="s">
        <v>1</v>
      </c>
      <c r="Q11" s="21">
        <v>20</v>
      </c>
      <c r="R11" s="75">
        <f>ROUND($AE$1*Q11/1000,1)</f>
        <v>1.4</v>
      </c>
      <c r="S11" s="74" t="s">
        <v>0</v>
      </c>
      <c r="T11" s="51"/>
      <c r="U11" s="52">
        <f t="shared" si="3"/>
        <v>0</v>
      </c>
      <c r="V11" s="267"/>
      <c r="W11" s="59"/>
      <c r="X11" s="21"/>
      <c r="Y11" s="75"/>
      <c r="Z11" s="74"/>
      <c r="AA11" s="51"/>
      <c r="AB11" s="52">
        <f t="shared" si="1"/>
        <v>0</v>
      </c>
      <c r="AC11" s="370"/>
      <c r="AD11" s="21" t="s">
        <v>89</v>
      </c>
      <c r="AE11" s="21">
        <v>1</v>
      </c>
      <c r="AF11" s="75" t="s">
        <v>23</v>
      </c>
      <c r="AG11" s="74" t="s">
        <v>0</v>
      </c>
      <c r="AH11" s="51"/>
      <c r="AI11" s="52" t="e">
        <f t="shared" si="2"/>
        <v>#VALUE!</v>
      </c>
    </row>
    <row r="12" spans="1:35" s="40" customFormat="1" ht="18.75" customHeight="1">
      <c r="A12" s="304"/>
      <c r="B12" s="148"/>
      <c r="C12" s="148"/>
      <c r="D12" s="77"/>
      <c r="E12" s="145"/>
      <c r="F12" s="51"/>
      <c r="G12" s="52"/>
      <c r="H12" s="267"/>
      <c r="I12" s="59" t="s">
        <v>211</v>
      </c>
      <c r="J12" s="21">
        <v>20</v>
      </c>
      <c r="K12" s="75">
        <f>ROUND($AE$1*J12/1000,1)</f>
        <v>1.4</v>
      </c>
      <c r="L12" s="74" t="s">
        <v>0</v>
      </c>
      <c r="M12" s="51"/>
      <c r="N12" s="52">
        <f t="shared" si="0"/>
        <v>0</v>
      </c>
      <c r="O12" s="267"/>
      <c r="P12" s="208"/>
      <c r="Q12" s="21"/>
      <c r="R12" s="75"/>
      <c r="S12" s="74"/>
      <c r="T12" s="51"/>
      <c r="U12" s="52"/>
      <c r="V12" s="267"/>
      <c r="W12" s="59"/>
      <c r="X12" s="21"/>
      <c r="Y12" s="75"/>
      <c r="Z12" s="74"/>
      <c r="AA12" s="51"/>
      <c r="AB12" s="52">
        <f t="shared" si="1"/>
        <v>0</v>
      </c>
      <c r="AC12" s="370"/>
      <c r="AD12" s="21" t="s">
        <v>1</v>
      </c>
      <c r="AE12" s="21">
        <v>30</v>
      </c>
      <c r="AF12" s="75">
        <f>ROUND($AF$1*AE12/1000,1)</f>
        <v>2.2</v>
      </c>
      <c r="AG12" s="74" t="s">
        <v>0</v>
      </c>
      <c r="AH12" s="51"/>
      <c r="AI12" s="52">
        <f t="shared" si="2"/>
        <v>0</v>
      </c>
    </row>
    <row r="13" spans="1:35" s="50" customFormat="1" ht="18.75" customHeight="1">
      <c r="A13" s="304"/>
      <c r="B13" s="148"/>
      <c r="C13" s="148"/>
      <c r="D13" s="77"/>
      <c r="E13" s="145"/>
      <c r="F13" s="51"/>
      <c r="G13" s="52">
        <f t="shared" si="4"/>
        <v>0</v>
      </c>
      <c r="H13" s="267"/>
      <c r="I13" s="21" t="s">
        <v>212</v>
      </c>
      <c r="J13" s="59">
        <v>0.1</v>
      </c>
      <c r="K13" s="75" t="s">
        <v>23</v>
      </c>
      <c r="L13" s="74" t="s">
        <v>21</v>
      </c>
      <c r="M13" s="51"/>
      <c r="N13" s="52" t="e">
        <f t="shared" si="0"/>
        <v>#VALUE!</v>
      </c>
      <c r="O13" s="267"/>
      <c r="P13" s="212"/>
      <c r="Q13" s="21"/>
      <c r="R13" s="75"/>
      <c r="S13" s="74"/>
      <c r="T13" s="51"/>
      <c r="U13" s="52">
        <f t="shared" si="3"/>
        <v>0</v>
      </c>
      <c r="V13" s="267"/>
      <c r="W13" s="21"/>
      <c r="X13" s="59"/>
      <c r="Y13" s="75"/>
      <c r="Z13" s="74"/>
      <c r="AA13" s="51"/>
      <c r="AB13" s="52">
        <f t="shared" si="1"/>
        <v>0</v>
      </c>
      <c r="AC13" s="370"/>
      <c r="AD13" s="21"/>
      <c r="AE13" s="21"/>
      <c r="AF13" s="91"/>
      <c r="AG13" s="91"/>
      <c r="AH13" s="51"/>
      <c r="AI13" s="52">
        <f t="shared" si="2"/>
        <v>0</v>
      </c>
    </row>
    <row r="14" spans="1:35" s="50" customFormat="1" ht="18.75" customHeight="1">
      <c r="A14" s="304"/>
      <c r="B14" s="148"/>
      <c r="C14" s="148"/>
      <c r="D14" s="77"/>
      <c r="E14" s="145"/>
      <c r="F14" s="51"/>
      <c r="G14" s="52">
        <f t="shared" si="4"/>
        <v>0</v>
      </c>
      <c r="H14" s="267"/>
      <c r="I14" s="53"/>
      <c r="J14" s="53"/>
      <c r="K14" s="75"/>
      <c r="L14" s="75"/>
      <c r="M14" s="51"/>
      <c r="N14" s="52">
        <f t="shared" si="0"/>
        <v>0</v>
      </c>
      <c r="O14" s="267"/>
      <c r="P14" s="213"/>
      <c r="Q14" s="21"/>
      <c r="R14" s="75"/>
      <c r="S14" s="74"/>
      <c r="T14" s="51"/>
      <c r="U14" s="52"/>
      <c r="V14" s="267"/>
      <c r="W14" s="53"/>
      <c r="X14" s="53"/>
      <c r="Y14" s="75"/>
      <c r="Z14" s="75"/>
      <c r="AA14" s="51"/>
      <c r="AB14" s="52">
        <f t="shared" si="1"/>
        <v>0</v>
      </c>
      <c r="AC14" s="370"/>
      <c r="AD14" s="21"/>
      <c r="AE14" s="21"/>
      <c r="AF14" s="75"/>
      <c r="AG14" s="75"/>
      <c r="AH14" s="51"/>
      <c r="AI14" s="52">
        <f t="shared" si="2"/>
        <v>0</v>
      </c>
    </row>
    <row r="15" spans="1:35" s="50" customFormat="1" ht="18.75" customHeight="1">
      <c r="A15" s="304"/>
      <c r="B15" s="148"/>
      <c r="C15" s="148"/>
      <c r="D15" s="77"/>
      <c r="E15" s="145"/>
      <c r="F15" s="51"/>
      <c r="G15" s="52">
        <f t="shared" si="4"/>
        <v>0</v>
      </c>
      <c r="H15" s="267"/>
      <c r="I15" s="53"/>
      <c r="J15" s="53"/>
      <c r="K15" s="75"/>
      <c r="L15" s="75"/>
      <c r="M15" s="51"/>
      <c r="N15" s="52">
        <f t="shared" si="0"/>
        <v>0</v>
      </c>
      <c r="O15" s="267"/>
      <c r="P15" s="223"/>
      <c r="Q15" s="81"/>
      <c r="R15" s="224"/>
      <c r="S15" s="74"/>
      <c r="T15" s="51"/>
      <c r="U15" s="52"/>
      <c r="V15" s="267"/>
      <c r="W15" s="53"/>
      <c r="X15" s="53"/>
      <c r="Y15" s="75"/>
      <c r="Z15" s="75"/>
      <c r="AA15" s="51"/>
      <c r="AB15" s="52">
        <f t="shared" si="1"/>
        <v>0</v>
      </c>
      <c r="AC15" s="370"/>
      <c r="AD15" s="21"/>
      <c r="AE15" s="21"/>
      <c r="AF15" s="75"/>
      <c r="AG15" s="75"/>
      <c r="AH15" s="51"/>
      <c r="AI15" s="52">
        <f t="shared" si="2"/>
        <v>0</v>
      </c>
    </row>
    <row r="16" spans="1:35" s="50" customFormat="1" ht="18.75" customHeight="1">
      <c r="A16" s="346"/>
      <c r="B16" s="56"/>
      <c r="C16" s="56"/>
      <c r="D16" s="77"/>
      <c r="E16" s="145"/>
      <c r="F16" s="51"/>
      <c r="G16" s="52">
        <f t="shared" si="4"/>
        <v>0</v>
      </c>
      <c r="H16" s="326"/>
      <c r="I16" s="21"/>
      <c r="J16" s="21"/>
      <c r="K16" s="75"/>
      <c r="L16" s="75"/>
      <c r="M16" s="51"/>
      <c r="N16" s="52">
        <f t="shared" si="0"/>
        <v>0</v>
      </c>
      <c r="O16" s="267"/>
      <c r="P16" s="27"/>
      <c r="Q16" s="58"/>
      <c r="R16" s="21"/>
      <c r="S16" s="21"/>
      <c r="T16" s="51"/>
      <c r="U16" s="52"/>
      <c r="V16" s="326"/>
      <c r="W16" s="21"/>
      <c r="X16" s="21"/>
      <c r="Y16" s="75"/>
      <c r="Z16" s="75"/>
      <c r="AA16" s="51"/>
      <c r="AB16" s="52"/>
      <c r="AC16" s="370"/>
      <c r="AD16" s="21"/>
      <c r="AE16" s="21"/>
      <c r="AF16" s="91"/>
      <c r="AG16" s="91"/>
      <c r="AH16" s="51"/>
      <c r="AI16" s="52"/>
    </row>
    <row r="17" spans="1:34" s="50" customFormat="1" ht="18.75" customHeight="1">
      <c r="A17" s="265" t="s">
        <v>42</v>
      </c>
      <c r="B17" s="265"/>
      <c r="C17" s="265"/>
      <c r="D17" s="265"/>
      <c r="E17" s="265"/>
      <c r="F17" s="47"/>
      <c r="G17" s="86"/>
      <c r="H17" s="265" t="s">
        <v>42</v>
      </c>
      <c r="I17" s="265"/>
      <c r="J17" s="265"/>
      <c r="K17" s="265"/>
      <c r="L17" s="265"/>
      <c r="M17" s="47"/>
      <c r="N17" s="87"/>
      <c r="O17" s="265" t="s">
        <v>42</v>
      </c>
      <c r="P17" s="265"/>
      <c r="Q17" s="265"/>
      <c r="R17" s="265"/>
      <c r="S17" s="265"/>
      <c r="T17" s="47"/>
      <c r="U17" s="87"/>
      <c r="V17" s="265" t="s">
        <v>42</v>
      </c>
      <c r="W17" s="265"/>
      <c r="X17" s="265"/>
      <c r="Y17" s="265"/>
      <c r="Z17" s="265"/>
      <c r="AA17" s="47"/>
      <c r="AB17" s="87"/>
      <c r="AC17" s="265" t="s">
        <v>42</v>
      </c>
      <c r="AD17" s="265"/>
      <c r="AE17" s="265"/>
      <c r="AF17" s="265"/>
      <c r="AG17" s="265"/>
      <c r="AH17" s="47"/>
    </row>
    <row r="18" spans="1:35" s="50" customFormat="1" ht="18.75" customHeight="1">
      <c r="A18" s="275" t="s">
        <v>221</v>
      </c>
      <c r="B18" s="59" t="s">
        <v>16</v>
      </c>
      <c r="C18" s="59">
        <v>16</v>
      </c>
      <c r="D18" s="75">
        <f>ROUND($AE$1*C18,0)</f>
        <v>1152</v>
      </c>
      <c r="E18" s="74" t="s">
        <v>66</v>
      </c>
      <c r="F18" s="157"/>
      <c r="G18" s="52">
        <f aca="true" t="shared" si="5" ref="G18:G25">D18*F18</f>
        <v>0</v>
      </c>
      <c r="H18" s="266" t="s">
        <v>100</v>
      </c>
      <c r="I18" s="58" t="s">
        <v>284</v>
      </c>
      <c r="J18" s="77">
        <v>0.35</v>
      </c>
      <c r="K18" s="75">
        <f>ROUND($AE$1*J18,0)</f>
        <v>25</v>
      </c>
      <c r="L18" s="91" t="s">
        <v>84</v>
      </c>
      <c r="M18" s="157"/>
      <c r="N18" s="52">
        <f aca="true" t="shared" si="6" ref="N18:N25">K18*M18</f>
        <v>0</v>
      </c>
      <c r="O18" s="266" t="s">
        <v>283</v>
      </c>
      <c r="P18" s="27" t="s">
        <v>214</v>
      </c>
      <c r="Q18" s="27">
        <v>41</v>
      </c>
      <c r="R18" s="21">
        <f>ROUND($AE$1*Q18/1000,1)</f>
        <v>3</v>
      </c>
      <c r="S18" s="96" t="s">
        <v>0</v>
      </c>
      <c r="T18" s="157"/>
      <c r="U18" s="52">
        <f aca="true" t="shared" si="7" ref="U18:U24">R18*T18</f>
        <v>0</v>
      </c>
      <c r="V18" s="379" t="s">
        <v>195</v>
      </c>
      <c r="W18" s="21" t="s">
        <v>194</v>
      </c>
      <c r="X18" s="21">
        <v>5</v>
      </c>
      <c r="Y18" s="21">
        <f>ROUND($AE$1*X18/30,1)</f>
        <v>12</v>
      </c>
      <c r="Z18" s="21" t="s">
        <v>25</v>
      </c>
      <c r="AA18" s="157"/>
      <c r="AB18" s="52">
        <f aca="true" t="shared" si="8" ref="AB18:AB25">Y18*AA18</f>
        <v>0</v>
      </c>
      <c r="AC18" s="266" t="s">
        <v>100</v>
      </c>
      <c r="AD18" s="58" t="s">
        <v>285</v>
      </c>
      <c r="AE18" s="77">
        <v>30</v>
      </c>
      <c r="AF18" s="75">
        <f>ROUND($AE$1*AE18/1000,0)</f>
        <v>2</v>
      </c>
      <c r="AG18" s="91" t="s">
        <v>0</v>
      </c>
      <c r="AH18" s="157"/>
      <c r="AI18" s="52">
        <f aca="true" t="shared" si="9" ref="AI18:AI25">AF18*AH18</f>
        <v>0</v>
      </c>
    </row>
    <row r="19" spans="1:35" s="50" customFormat="1" ht="18.75" customHeight="1">
      <c r="A19" s="275"/>
      <c r="B19" s="53"/>
      <c r="C19" s="27"/>
      <c r="D19" s="75"/>
      <c r="E19" s="74"/>
      <c r="F19" s="157"/>
      <c r="G19" s="52">
        <f t="shared" si="5"/>
        <v>0</v>
      </c>
      <c r="H19" s="267"/>
      <c r="I19" s="58" t="s">
        <v>204</v>
      </c>
      <c r="J19" s="77">
        <v>43</v>
      </c>
      <c r="K19" s="75">
        <f>ROUND($AE$1*J19/1000,0)</f>
        <v>3</v>
      </c>
      <c r="L19" s="91" t="s">
        <v>0</v>
      </c>
      <c r="M19" s="157"/>
      <c r="N19" s="52">
        <f t="shared" si="6"/>
        <v>0</v>
      </c>
      <c r="O19" s="267"/>
      <c r="P19" s="27" t="s">
        <v>215</v>
      </c>
      <c r="Q19" s="27">
        <v>15</v>
      </c>
      <c r="R19" s="21">
        <f>ROUND($AE$1*Q19/600,0)</f>
        <v>2</v>
      </c>
      <c r="S19" s="74" t="s">
        <v>25</v>
      </c>
      <c r="T19" s="157"/>
      <c r="U19" s="52">
        <f t="shared" si="7"/>
        <v>0</v>
      </c>
      <c r="V19" s="380"/>
      <c r="W19" s="21" t="s">
        <v>145</v>
      </c>
      <c r="X19" s="21">
        <v>20.5</v>
      </c>
      <c r="Y19" s="21">
        <f>ROUND($AE$1*X19/1000,1)</f>
        <v>1.5</v>
      </c>
      <c r="Z19" s="21" t="s">
        <v>2</v>
      </c>
      <c r="AA19" s="157"/>
      <c r="AB19" s="52">
        <f t="shared" si="8"/>
        <v>0</v>
      </c>
      <c r="AC19" s="267"/>
      <c r="AD19" s="58" t="s">
        <v>204</v>
      </c>
      <c r="AE19" s="77">
        <v>43</v>
      </c>
      <c r="AF19" s="75">
        <f>ROUND($AE$1*AE19/1000,0)</f>
        <v>3</v>
      </c>
      <c r="AG19" s="91" t="s">
        <v>0</v>
      </c>
      <c r="AH19" s="157"/>
      <c r="AI19" s="52">
        <f t="shared" si="9"/>
        <v>0</v>
      </c>
    </row>
    <row r="20" spans="1:35" s="50" customFormat="1" ht="18.75" customHeight="1">
      <c r="A20" s="275"/>
      <c r="B20" s="58" t="s">
        <v>47</v>
      </c>
      <c r="C20" s="58">
        <v>50</v>
      </c>
      <c r="D20" s="75">
        <f>ROUND($AE$1*C20/1000,0)</f>
        <v>4</v>
      </c>
      <c r="E20" s="74" t="s">
        <v>0</v>
      </c>
      <c r="F20" s="157"/>
      <c r="G20" s="52">
        <f t="shared" si="5"/>
        <v>0</v>
      </c>
      <c r="H20" s="267"/>
      <c r="I20" s="77" t="s">
        <v>20</v>
      </c>
      <c r="J20" s="77">
        <v>43</v>
      </c>
      <c r="K20" s="75">
        <f>ROUND($AE$1*J20/1000,0)</f>
        <v>3</v>
      </c>
      <c r="L20" s="91" t="s">
        <v>0</v>
      </c>
      <c r="M20" s="157"/>
      <c r="N20" s="52">
        <f t="shared" si="6"/>
        <v>0</v>
      </c>
      <c r="O20" s="267"/>
      <c r="P20" s="166"/>
      <c r="Q20" s="27"/>
      <c r="R20" s="75"/>
      <c r="S20" s="74"/>
      <c r="T20" s="157"/>
      <c r="U20" s="52">
        <f t="shared" si="7"/>
        <v>0</v>
      </c>
      <c r="V20" s="380"/>
      <c r="W20" s="21" t="s">
        <v>276</v>
      </c>
      <c r="X20" s="21">
        <v>3.3</v>
      </c>
      <c r="Y20" s="21">
        <f>ROUND($AE$1*X20/1000,1)</f>
        <v>0.2</v>
      </c>
      <c r="Z20" s="21" t="s">
        <v>2</v>
      </c>
      <c r="AA20" s="157"/>
      <c r="AB20" s="52">
        <f t="shared" si="8"/>
        <v>0</v>
      </c>
      <c r="AC20" s="267"/>
      <c r="AD20" s="77" t="s">
        <v>63</v>
      </c>
      <c r="AE20" s="77">
        <v>50</v>
      </c>
      <c r="AF20" s="75">
        <f>ROUND($AE$1*AE20/1000,0)</f>
        <v>4</v>
      </c>
      <c r="AG20" s="91" t="s">
        <v>0</v>
      </c>
      <c r="AH20" s="157"/>
      <c r="AI20" s="52">
        <f t="shared" si="9"/>
        <v>0</v>
      </c>
    </row>
    <row r="21" spans="1:35" s="50" customFormat="1" ht="18.75" customHeight="1">
      <c r="A21" s="275"/>
      <c r="B21" s="59"/>
      <c r="C21" s="59"/>
      <c r="D21" s="75"/>
      <c r="E21" s="168"/>
      <c r="F21" s="157"/>
      <c r="G21" s="52">
        <f t="shared" si="5"/>
        <v>0</v>
      </c>
      <c r="H21" s="267"/>
      <c r="I21" s="167"/>
      <c r="J21" s="167"/>
      <c r="K21" s="75"/>
      <c r="L21" s="74"/>
      <c r="M21" s="157"/>
      <c r="N21" s="52">
        <f t="shared" si="6"/>
        <v>0</v>
      </c>
      <c r="O21" s="267"/>
      <c r="P21" s="21"/>
      <c r="Q21" s="21"/>
      <c r="R21" s="75"/>
      <c r="S21" s="74"/>
      <c r="T21" s="157"/>
      <c r="U21" s="52">
        <f t="shared" si="7"/>
        <v>0</v>
      </c>
      <c r="V21" s="380"/>
      <c r="W21" s="21" t="s">
        <v>196</v>
      </c>
      <c r="X21" s="53">
        <v>1</v>
      </c>
      <c r="Y21" s="91" t="s">
        <v>23</v>
      </c>
      <c r="Z21" s="74"/>
      <c r="AA21" s="157"/>
      <c r="AB21" s="52" t="e">
        <f t="shared" si="8"/>
        <v>#VALUE!</v>
      </c>
      <c r="AC21" s="267"/>
      <c r="AD21" s="167"/>
      <c r="AE21" s="167"/>
      <c r="AF21" s="75"/>
      <c r="AG21" s="75"/>
      <c r="AH21" s="157"/>
      <c r="AI21" s="52">
        <f t="shared" si="9"/>
        <v>0</v>
      </c>
    </row>
    <row r="22" spans="1:35" s="50" customFormat="1" ht="18.75" customHeight="1">
      <c r="A22" s="275"/>
      <c r="B22" s="62"/>
      <c r="C22" s="62"/>
      <c r="D22" s="75"/>
      <c r="E22" s="23"/>
      <c r="F22" s="157"/>
      <c r="G22" s="52">
        <f t="shared" si="5"/>
        <v>0</v>
      </c>
      <c r="H22" s="267"/>
      <c r="I22" s="241" t="s">
        <v>232</v>
      </c>
      <c r="J22" s="243">
        <v>120</v>
      </c>
      <c r="K22" s="75">
        <f>ROUND($AE$1*J22/1000,0)</f>
        <v>9</v>
      </c>
      <c r="L22" s="77" t="s">
        <v>52</v>
      </c>
      <c r="M22" s="157"/>
      <c r="N22" s="52">
        <f t="shared" si="6"/>
        <v>0</v>
      </c>
      <c r="O22" s="267"/>
      <c r="P22" s="60"/>
      <c r="Q22" s="52"/>
      <c r="R22" s="52"/>
      <c r="S22" s="52"/>
      <c r="T22" s="157"/>
      <c r="U22" s="52">
        <f t="shared" si="7"/>
        <v>0</v>
      </c>
      <c r="V22" s="380"/>
      <c r="W22" s="53"/>
      <c r="X22" s="53"/>
      <c r="Y22" s="91"/>
      <c r="Z22" s="74"/>
      <c r="AA22" s="157"/>
      <c r="AB22" s="52">
        <f t="shared" si="8"/>
        <v>0</v>
      </c>
      <c r="AC22" s="267"/>
      <c r="AD22" s="241" t="s">
        <v>232</v>
      </c>
      <c r="AE22" s="243">
        <v>120</v>
      </c>
      <c r="AF22" s="244" t="s">
        <v>23</v>
      </c>
      <c r="AG22" s="77" t="s">
        <v>52</v>
      </c>
      <c r="AH22" s="157"/>
      <c r="AI22" s="52" t="e">
        <f t="shared" si="9"/>
        <v>#VALUE!</v>
      </c>
    </row>
    <row r="23" spans="1:35" s="50" customFormat="1" ht="18.75" customHeight="1">
      <c r="A23" s="275"/>
      <c r="B23" s="200"/>
      <c r="C23" s="27"/>
      <c r="D23" s="75"/>
      <c r="E23" s="74"/>
      <c r="F23" s="260"/>
      <c r="G23" s="52">
        <f t="shared" si="5"/>
        <v>0</v>
      </c>
      <c r="H23" s="267"/>
      <c r="I23" s="242"/>
      <c r="J23" s="155"/>
      <c r="K23" s="91"/>
      <c r="L23" s="94"/>
      <c r="M23" s="260"/>
      <c r="N23" s="52">
        <f t="shared" si="6"/>
        <v>0</v>
      </c>
      <c r="O23" s="267"/>
      <c r="P23" s="21"/>
      <c r="Q23" s="21"/>
      <c r="R23" s="75"/>
      <c r="S23" s="74"/>
      <c r="T23" s="260"/>
      <c r="U23" s="52">
        <f t="shared" si="7"/>
        <v>0</v>
      </c>
      <c r="V23" s="380"/>
      <c r="W23" s="57"/>
      <c r="X23" s="57"/>
      <c r="Y23" s="152"/>
      <c r="Z23" s="154"/>
      <c r="AA23" s="260"/>
      <c r="AB23" s="52">
        <f t="shared" si="8"/>
        <v>0</v>
      </c>
      <c r="AC23" s="267"/>
      <c r="AD23" s="242" t="s">
        <v>247</v>
      </c>
      <c r="AE23" s="155"/>
      <c r="AF23" s="91"/>
      <c r="AG23" s="91"/>
      <c r="AH23" s="260"/>
      <c r="AI23" s="52">
        <f t="shared" si="9"/>
        <v>0</v>
      </c>
    </row>
    <row r="24" spans="1:35" s="50" customFormat="1" ht="18.75" customHeight="1">
      <c r="A24" s="275"/>
      <c r="B24" s="59"/>
      <c r="C24" s="59"/>
      <c r="D24" s="75"/>
      <c r="E24" s="74"/>
      <c r="F24" s="157"/>
      <c r="G24" s="52">
        <f t="shared" si="5"/>
        <v>0</v>
      </c>
      <c r="H24" s="267"/>
      <c r="I24" s="167"/>
      <c r="J24" s="167"/>
      <c r="K24" s="75"/>
      <c r="L24" s="74"/>
      <c r="M24" s="157"/>
      <c r="N24" s="52">
        <f t="shared" si="6"/>
        <v>0</v>
      </c>
      <c r="O24" s="267"/>
      <c r="P24" s="27" t="s">
        <v>173</v>
      </c>
      <c r="Q24" s="58">
        <v>60</v>
      </c>
      <c r="R24" s="21">
        <f>ROUND($AE$1*Q24/1000,1)</f>
        <v>4.3</v>
      </c>
      <c r="S24" s="21" t="s">
        <v>2</v>
      </c>
      <c r="T24" s="157"/>
      <c r="U24" s="52">
        <f t="shared" si="7"/>
        <v>0</v>
      </c>
      <c r="V24" s="380"/>
      <c r="W24" s="57"/>
      <c r="X24" s="57"/>
      <c r="Y24" s="152"/>
      <c r="Z24" s="154"/>
      <c r="AA24" s="157"/>
      <c r="AB24" s="52">
        <f t="shared" si="8"/>
        <v>0</v>
      </c>
      <c r="AC24" s="267"/>
      <c r="AD24" s="167"/>
      <c r="AE24" s="167"/>
      <c r="AF24" s="75"/>
      <c r="AG24" s="75"/>
      <c r="AH24" s="157"/>
      <c r="AI24" s="52">
        <f t="shared" si="9"/>
        <v>0</v>
      </c>
    </row>
    <row r="25" spans="1:35" s="50" customFormat="1" ht="18.75" customHeight="1" thickBot="1">
      <c r="A25" s="275"/>
      <c r="B25" s="149"/>
      <c r="C25" s="149"/>
      <c r="D25" s="150"/>
      <c r="E25" s="170"/>
      <c r="F25" s="171"/>
      <c r="G25" s="172">
        <f t="shared" si="5"/>
        <v>0</v>
      </c>
      <c r="H25" s="267"/>
      <c r="I25" s="169"/>
      <c r="J25" s="169"/>
      <c r="K25" s="150"/>
      <c r="L25" s="170"/>
      <c r="M25" s="171"/>
      <c r="N25" s="172">
        <f t="shared" si="6"/>
        <v>0</v>
      </c>
      <c r="O25" s="323"/>
      <c r="P25" s="149"/>
      <c r="Q25" s="149"/>
      <c r="R25" s="173"/>
      <c r="S25" s="170"/>
      <c r="T25" s="171"/>
      <c r="U25" s="172">
        <f>R25*T25</f>
        <v>0</v>
      </c>
      <c r="V25" s="380"/>
      <c r="W25" s="57"/>
      <c r="X25" s="57"/>
      <c r="Y25" s="162"/>
      <c r="Z25" s="163"/>
      <c r="AA25" s="171"/>
      <c r="AB25" s="172">
        <f t="shared" si="8"/>
        <v>0</v>
      </c>
      <c r="AC25" s="267"/>
      <c r="AD25" s="169"/>
      <c r="AE25" s="169"/>
      <c r="AF25" s="150"/>
      <c r="AG25" s="170"/>
      <c r="AH25" s="171"/>
      <c r="AI25" s="172">
        <f t="shared" si="9"/>
        <v>0</v>
      </c>
    </row>
    <row r="26" spans="1:34" s="40" customFormat="1" ht="18.75" customHeight="1">
      <c r="A26" s="305" t="s">
        <v>90</v>
      </c>
      <c r="B26" s="98" t="s">
        <v>91</v>
      </c>
      <c r="C26" s="282">
        <v>2</v>
      </c>
      <c r="D26" s="282"/>
      <c r="E26" s="283"/>
      <c r="F26" s="284" t="e">
        <f>SUM(#REF!)</f>
        <v>#REF!</v>
      </c>
      <c r="G26" s="284"/>
      <c r="H26" s="292" t="s">
        <v>90</v>
      </c>
      <c r="I26" s="98" t="s">
        <v>91</v>
      </c>
      <c r="J26" s="282">
        <v>2</v>
      </c>
      <c r="K26" s="282"/>
      <c r="L26" s="283"/>
      <c r="M26" s="284" t="e">
        <f>SUM(#REF!)</f>
        <v>#REF!</v>
      </c>
      <c r="N26" s="285"/>
      <c r="O26" s="310" t="s">
        <v>90</v>
      </c>
      <c r="P26" s="98" t="s">
        <v>91</v>
      </c>
      <c r="Q26" s="282">
        <v>2.6</v>
      </c>
      <c r="R26" s="282"/>
      <c r="S26" s="283"/>
      <c r="T26" s="330" t="e">
        <f>SUM(#REF!)</f>
        <v>#REF!</v>
      </c>
      <c r="U26" s="285"/>
      <c r="V26" s="310" t="s">
        <v>90</v>
      </c>
      <c r="W26" s="98" t="s">
        <v>91</v>
      </c>
      <c r="X26" s="282">
        <v>2.8</v>
      </c>
      <c r="Y26" s="282"/>
      <c r="Z26" s="283"/>
      <c r="AA26" s="284" t="e">
        <f>SUM(#REF!)</f>
        <v>#REF!</v>
      </c>
      <c r="AB26" s="284"/>
      <c r="AC26" s="292" t="s">
        <v>90</v>
      </c>
      <c r="AD26" s="98" t="s">
        <v>91</v>
      </c>
      <c r="AE26" s="282">
        <v>2</v>
      </c>
      <c r="AF26" s="282"/>
      <c r="AG26" s="308"/>
      <c r="AH26" s="237" t="e">
        <f>SUM(#REF!)</f>
        <v>#REF!</v>
      </c>
    </row>
    <row r="27" spans="1:34" s="40" customFormat="1" ht="18.75" customHeight="1">
      <c r="A27" s="306"/>
      <c r="B27" s="100" t="s">
        <v>92</v>
      </c>
      <c r="C27" s="313">
        <v>0.5</v>
      </c>
      <c r="D27" s="313"/>
      <c r="E27" s="314"/>
      <c r="F27" s="101"/>
      <c r="G27" s="102"/>
      <c r="H27" s="293"/>
      <c r="I27" s="100" t="s">
        <v>92</v>
      </c>
      <c r="J27" s="313">
        <v>0.5</v>
      </c>
      <c r="K27" s="313"/>
      <c r="L27" s="314"/>
      <c r="M27" s="103"/>
      <c r="N27" s="102"/>
      <c r="O27" s="311"/>
      <c r="P27" s="100" t="s">
        <v>92</v>
      </c>
      <c r="Q27" s="313">
        <v>0.5</v>
      </c>
      <c r="R27" s="313"/>
      <c r="S27" s="314"/>
      <c r="T27" s="103"/>
      <c r="U27" s="102"/>
      <c r="V27" s="311"/>
      <c r="W27" s="100" t="s">
        <v>92</v>
      </c>
      <c r="X27" s="313">
        <v>0.5</v>
      </c>
      <c r="Y27" s="313"/>
      <c r="Z27" s="314"/>
      <c r="AA27" s="105"/>
      <c r="AB27" s="102"/>
      <c r="AC27" s="293"/>
      <c r="AD27" s="100" t="s">
        <v>92</v>
      </c>
      <c r="AE27" s="313">
        <v>0.5</v>
      </c>
      <c r="AF27" s="313"/>
      <c r="AG27" s="315"/>
      <c r="AH27" s="106"/>
    </row>
    <row r="28" spans="1:34" s="40" customFormat="1" ht="18.75" customHeight="1">
      <c r="A28" s="306"/>
      <c r="B28" s="108" t="s">
        <v>95</v>
      </c>
      <c r="C28" s="313">
        <v>0.6</v>
      </c>
      <c r="D28" s="313"/>
      <c r="E28" s="314"/>
      <c r="F28" s="101"/>
      <c r="G28" s="102"/>
      <c r="H28" s="293"/>
      <c r="I28" s="108" t="s">
        <v>95</v>
      </c>
      <c r="J28" s="313">
        <v>0.5</v>
      </c>
      <c r="K28" s="313"/>
      <c r="L28" s="314"/>
      <c r="M28" s="103"/>
      <c r="N28" s="102"/>
      <c r="O28" s="311"/>
      <c r="P28" s="108" t="s">
        <v>95</v>
      </c>
      <c r="Q28" s="313">
        <v>0.2</v>
      </c>
      <c r="R28" s="313"/>
      <c r="S28" s="314"/>
      <c r="T28" s="103"/>
      <c r="U28" s="102"/>
      <c r="V28" s="311"/>
      <c r="W28" s="108" t="s">
        <v>95</v>
      </c>
      <c r="X28" s="313">
        <v>0.3</v>
      </c>
      <c r="Y28" s="313"/>
      <c r="Z28" s="314"/>
      <c r="AA28" s="105"/>
      <c r="AB28" s="102"/>
      <c r="AC28" s="293"/>
      <c r="AD28" s="108" t="s">
        <v>95</v>
      </c>
      <c r="AE28" s="313">
        <v>0.4</v>
      </c>
      <c r="AF28" s="313"/>
      <c r="AG28" s="315"/>
      <c r="AH28" s="106"/>
    </row>
    <row r="29" spans="1:34" s="40" customFormat="1" ht="18.75" customHeight="1">
      <c r="A29" s="306"/>
      <c r="B29" s="109" t="s">
        <v>93</v>
      </c>
      <c r="C29" s="313">
        <v>0.5</v>
      </c>
      <c r="D29" s="313"/>
      <c r="E29" s="314"/>
      <c r="F29" s="101"/>
      <c r="G29" s="102"/>
      <c r="H29" s="293"/>
      <c r="I29" s="109" t="s">
        <v>93</v>
      </c>
      <c r="J29" s="313">
        <v>0.5</v>
      </c>
      <c r="K29" s="313"/>
      <c r="L29" s="314"/>
      <c r="M29" s="103"/>
      <c r="N29" s="102"/>
      <c r="O29" s="311"/>
      <c r="P29" s="109" t="s">
        <v>93</v>
      </c>
      <c r="Q29" s="313">
        <v>0.5</v>
      </c>
      <c r="R29" s="313"/>
      <c r="S29" s="314"/>
      <c r="T29" s="103"/>
      <c r="U29" s="102"/>
      <c r="V29" s="311"/>
      <c r="W29" s="109" t="s">
        <v>93</v>
      </c>
      <c r="X29" s="313">
        <v>0.5</v>
      </c>
      <c r="Y29" s="313"/>
      <c r="Z29" s="314"/>
      <c r="AA29" s="105"/>
      <c r="AB29" s="102"/>
      <c r="AC29" s="293"/>
      <c r="AD29" s="109" t="s">
        <v>94</v>
      </c>
      <c r="AE29" s="313">
        <v>0.5</v>
      </c>
      <c r="AF29" s="313"/>
      <c r="AG29" s="315"/>
      <c r="AH29" s="106"/>
    </row>
    <row r="30" spans="1:34" s="40" customFormat="1" ht="18.75" customHeight="1">
      <c r="A30" s="306"/>
      <c r="B30" s="100" t="s">
        <v>96</v>
      </c>
      <c r="C30" s="313">
        <v>0.4</v>
      </c>
      <c r="D30" s="313"/>
      <c r="E30" s="314"/>
      <c r="F30" s="101"/>
      <c r="G30" s="102"/>
      <c r="H30" s="293"/>
      <c r="I30" s="100" t="s">
        <v>96</v>
      </c>
      <c r="J30" s="313">
        <v>1</v>
      </c>
      <c r="K30" s="313"/>
      <c r="L30" s="314"/>
      <c r="M30" s="103"/>
      <c r="N30" s="102"/>
      <c r="O30" s="311"/>
      <c r="P30" s="100" t="s">
        <v>96</v>
      </c>
      <c r="Q30" s="313">
        <v>0.5</v>
      </c>
      <c r="R30" s="313"/>
      <c r="S30" s="314"/>
      <c r="T30" s="103"/>
      <c r="U30" s="102"/>
      <c r="V30" s="311"/>
      <c r="W30" s="100" t="s">
        <v>96</v>
      </c>
      <c r="X30" s="313">
        <v>0</v>
      </c>
      <c r="Y30" s="313"/>
      <c r="Z30" s="314"/>
      <c r="AA30" s="105"/>
      <c r="AB30" s="102"/>
      <c r="AC30" s="293"/>
      <c r="AD30" s="100" t="s">
        <v>96</v>
      </c>
      <c r="AE30" s="313">
        <v>1</v>
      </c>
      <c r="AF30" s="313"/>
      <c r="AG30" s="315"/>
      <c r="AH30" s="106"/>
    </row>
    <row r="31" spans="1:34" s="40" customFormat="1" ht="18.75" customHeight="1">
      <c r="A31" s="306"/>
      <c r="B31" s="100" t="s">
        <v>97</v>
      </c>
      <c r="C31" s="313">
        <v>0.8</v>
      </c>
      <c r="D31" s="313"/>
      <c r="E31" s="314"/>
      <c r="F31" s="101"/>
      <c r="G31" s="102"/>
      <c r="H31" s="293"/>
      <c r="I31" s="100" t="s">
        <v>97</v>
      </c>
      <c r="J31" s="313">
        <v>0.6</v>
      </c>
      <c r="K31" s="313"/>
      <c r="L31" s="314"/>
      <c r="M31" s="110"/>
      <c r="N31" s="102"/>
      <c r="O31" s="311"/>
      <c r="P31" s="100" t="s">
        <v>97</v>
      </c>
      <c r="Q31" s="313">
        <v>0</v>
      </c>
      <c r="R31" s="313"/>
      <c r="S31" s="314"/>
      <c r="T31" s="103"/>
      <c r="U31" s="102"/>
      <c r="V31" s="311"/>
      <c r="W31" s="100" t="s">
        <v>97</v>
      </c>
      <c r="X31" s="313">
        <v>0.6</v>
      </c>
      <c r="Y31" s="313"/>
      <c r="Z31" s="314"/>
      <c r="AA31" s="105"/>
      <c r="AB31" s="102"/>
      <c r="AC31" s="293"/>
      <c r="AD31" s="100" t="s">
        <v>97</v>
      </c>
      <c r="AE31" s="313">
        <v>0.6</v>
      </c>
      <c r="AF31" s="313"/>
      <c r="AG31" s="315"/>
      <c r="AH31" s="106"/>
    </row>
    <row r="32" spans="1:34" s="40" customFormat="1" ht="18.75" customHeight="1" thickBot="1">
      <c r="A32" s="307"/>
      <c r="B32" s="111" t="s">
        <v>98</v>
      </c>
      <c r="C32" s="316">
        <f>C26*70+C27*75+C28*25+C29*45+C31*120+C30*60</f>
        <v>335</v>
      </c>
      <c r="D32" s="316"/>
      <c r="E32" s="317"/>
      <c r="F32" s="112"/>
      <c r="G32" s="113"/>
      <c r="H32" s="294"/>
      <c r="I32" s="111" t="s">
        <v>98</v>
      </c>
      <c r="J32" s="316">
        <f>J26*70+J27*75+J28*25+J29*45+J31*120+J30*60</f>
        <v>344.5</v>
      </c>
      <c r="K32" s="316"/>
      <c r="L32" s="317"/>
      <c r="M32" s="114"/>
      <c r="N32" s="113"/>
      <c r="O32" s="312"/>
      <c r="P32" s="111" t="s">
        <v>98</v>
      </c>
      <c r="Q32" s="316">
        <f>Q26*70+Q27*75+Q28*25+Q29*45+Q31*120+Q30*60</f>
        <v>277</v>
      </c>
      <c r="R32" s="316"/>
      <c r="S32" s="317"/>
      <c r="T32" s="114"/>
      <c r="U32" s="113"/>
      <c r="V32" s="312"/>
      <c r="W32" s="111" t="s">
        <v>98</v>
      </c>
      <c r="X32" s="316">
        <f>X26*70+X27*75+X28*25+X29*45+X31*120+X30*60</f>
        <v>335.5</v>
      </c>
      <c r="Y32" s="316"/>
      <c r="Z32" s="317"/>
      <c r="AA32" s="116"/>
      <c r="AB32" s="113"/>
      <c r="AC32" s="294"/>
      <c r="AD32" s="111" t="s">
        <v>98</v>
      </c>
      <c r="AE32" s="316"/>
      <c r="AF32" s="316"/>
      <c r="AG32" s="318"/>
      <c r="AH32" s="117"/>
    </row>
    <row r="33" spans="1:34" s="50" customFormat="1" ht="18.75" customHeight="1">
      <c r="A33" s="80"/>
      <c r="B33" s="81"/>
      <c r="C33" s="81"/>
      <c r="D33" s="119"/>
      <c r="E33" s="119"/>
      <c r="F33" s="82"/>
      <c r="G33" s="81"/>
      <c r="H33" s="83"/>
      <c r="I33" s="81"/>
      <c r="J33" s="81"/>
      <c r="K33" s="119"/>
      <c r="L33" s="119"/>
      <c r="M33" s="82"/>
      <c r="N33" s="81"/>
      <c r="O33" s="84"/>
      <c r="P33" s="80"/>
      <c r="Q33" s="80"/>
      <c r="R33" s="88"/>
      <c r="S33" s="88"/>
      <c r="T33" s="82"/>
      <c r="U33" s="81"/>
      <c r="V33" s="83"/>
      <c r="W33" s="80"/>
      <c r="X33" s="80"/>
      <c r="Y33" s="88"/>
      <c r="Z33" s="88"/>
      <c r="AA33" s="82"/>
      <c r="AB33" s="81"/>
      <c r="AC33" s="80"/>
      <c r="AD33" s="81"/>
      <c r="AE33" s="81"/>
      <c r="AF33" s="119"/>
      <c r="AG33" s="119"/>
      <c r="AH33" s="82"/>
    </row>
    <row r="34" spans="1:43" s="50" customFormat="1" ht="19.5" customHeight="1">
      <c r="A34" s="279" t="s">
        <v>55</v>
      </c>
      <c r="B34" s="279"/>
      <c r="C34" s="279"/>
      <c r="D34" s="279"/>
      <c r="E34" s="279"/>
      <c r="F34" s="279"/>
      <c r="G34" s="279"/>
      <c r="H34" s="279"/>
      <c r="I34" s="279"/>
      <c r="J34" s="279"/>
      <c r="K34" s="279"/>
      <c r="L34" s="279"/>
      <c r="M34" s="279"/>
      <c r="N34" s="279"/>
      <c r="O34" s="279"/>
      <c r="P34" s="279"/>
      <c r="Q34" s="279"/>
      <c r="R34" s="279"/>
      <c r="S34" s="279"/>
      <c r="T34" s="279"/>
      <c r="U34" s="279"/>
      <c r="V34" s="279"/>
      <c r="W34" s="279"/>
      <c r="X34" s="279"/>
      <c r="Y34" s="279"/>
      <c r="Z34" s="279"/>
      <c r="AA34" s="279"/>
      <c r="AB34" s="279"/>
      <c r="AC34" s="279"/>
      <c r="AD34" s="279"/>
      <c r="AE34" s="279"/>
      <c r="AF34" s="279"/>
      <c r="AG34" s="279"/>
      <c r="AH34" s="279"/>
      <c r="AI34" s="65"/>
      <c r="AJ34" s="65"/>
      <c r="AK34" s="65"/>
      <c r="AL34" s="65"/>
      <c r="AM34" s="65"/>
      <c r="AN34" s="65"/>
      <c r="AO34" s="65"/>
      <c r="AP34" s="65"/>
      <c r="AQ34" s="65"/>
    </row>
    <row r="35" spans="1:43" s="50" customFormat="1" ht="22.5" customHeight="1">
      <c r="A35" s="299" t="s">
        <v>67</v>
      </c>
      <c r="B35" s="299"/>
      <c r="C35" s="299"/>
      <c r="D35" s="299"/>
      <c r="E35" s="299"/>
      <c r="F35" s="299"/>
      <c r="G35" s="299"/>
      <c r="H35" s="299"/>
      <c r="I35" s="299"/>
      <c r="J35" s="299"/>
      <c r="K35" s="299"/>
      <c r="L35" s="299"/>
      <c r="M35" s="299"/>
      <c r="N35" s="299"/>
      <c r="O35" s="299"/>
      <c r="P35" s="299"/>
      <c r="Q35" s="299"/>
      <c r="R35" s="299"/>
      <c r="S35" s="299"/>
      <c r="T35" s="299"/>
      <c r="U35" s="299"/>
      <c r="V35" s="299"/>
      <c r="W35" s="299"/>
      <c r="X35" s="299"/>
      <c r="Y35" s="299"/>
      <c r="Z35" s="299"/>
      <c r="AA35" s="299"/>
      <c r="AB35" s="299"/>
      <c r="AC35" s="299"/>
      <c r="AD35" s="299"/>
      <c r="AE35" s="299"/>
      <c r="AF35" s="299"/>
      <c r="AG35" s="299"/>
      <c r="AH35" s="299"/>
      <c r="AI35" s="65"/>
      <c r="AJ35" s="65"/>
      <c r="AK35" s="65"/>
      <c r="AL35" s="65"/>
      <c r="AM35" s="65"/>
      <c r="AN35" s="65"/>
      <c r="AO35" s="65"/>
      <c r="AP35" s="65"/>
      <c r="AQ35" s="65"/>
    </row>
    <row r="36" ht="22.5" customHeight="1"/>
  </sheetData>
  <sheetProtection/>
  <mergeCells count="82">
    <mergeCell ref="A1:L1"/>
    <mergeCell ref="AE27:AG27"/>
    <mergeCell ref="AE28:AG28"/>
    <mergeCell ref="AE30:AG30"/>
    <mergeCell ref="V26:V32"/>
    <mergeCell ref="X27:Z27"/>
    <mergeCell ref="A34:AH34"/>
    <mergeCell ref="A35:AH35"/>
    <mergeCell ref="AE31:AG31"/>
    <mergeCell ref="C32:E32"/>
    <mergeCell ref="J32:L32"/>
    <mergeCell ref="AE32:AG32"/>
    <mergeCell ref="Q31:S31"/>
    <mergeCell ref="X32:Z32"/>
    <mergeCell ref="X30:Z30"/>
    <mergeCell ref="Q27:S27"/>
    <mergeCell ref="X28:Z28"/>
    <mergeCell ref="Q28:S28"/>
    <mergeCell ref="AE29:AG29"/>
    <mergeCell ref="X31:Z31"/>
    <mergeCell ref="Q29:S29"/>
    <mergeCell ref="X29:Z29"/>
    <mergeCell ref="A18:A25"/>
    <mergeCell ref="H18:H25"/>
    <mergeCell ref="C27:E27"/>
    <mergeCell ref="J27:L27"/>
    <mergeCell ref="C28:E28"/>
    <mergeCell ref="J28:L28"/>
    <mergeCell ref="A26:A32"/>
    <mergeCell ref="C31:E31"/>
    <mergeCell ref="J31:L31"/>
    <mergeCell ref="C26:E26"/>
    <mergeCell ref="AC18:AC25"/>
    <mergeCell ref="C30:E30"/>
    <mergeCell ref="C29:E29"/>
    <mergeCell ref="J29:L29"/>
    <mergeCell ref="Q30:S30"/>
    <mergeCell ref="T26:U26"/>
    <mergeCell ref="J30:L30"/>
    <mergeCell ref="AA26:AB26"/>
    <mergeCell ref="O26:O32"/>
    <mergeCell ref="Q26:S26"/>
    <mergeCell ref="F26:G26"/>
    <mergeCell ref="H26:H32"/>
    <mergeCell ref="O18:O25"/>
    <mergeCell ref="V18:V25"/>
    <mergeCell ref="Q32:S32"/>
    <mergeCell ref="A17:E17"/>
    <mergeCell ref="H17:L17"/>
    <mergeCell ref="O17:S17"/>
    <mergeCell ref="V17:Z17"/>
    <mergeCell ref="AC17:AG17"/>
    <mergeCell ref="J26:L26"/>
    <mergeCell ref="M26:N26"/>
    <mergeCell ref="X26:Z26"/>
    <mergeCell ref="AC26:AC32"/>
    <mergeCell ref="AE26:AG26"/>
    <mergeCell ref="A5:E5"/>
    <mergeCell ref="H5:L5"/>
    <mergeCell ref="O5:S5"/>
    <mergeCell ref="V5:Z5"/>
    <mergeCell ref="AC5:AG5"/>
    <mergeCell ref="A6:A16"/>
    <mergeCell ref="H6:H16"/>
    <mergeCell ref="O6:O16"/>
    <mergeCell ref="V6:V16"/>
    <mergeCell ref="AC6:AC16"/>
    <mergeCell ref="AD2:AG2"/>
    <mergeCell ref="B4:E4"/>
    <mergeCell ref="I4:L4"/>
    <mergeCell ref="P4:S4"/>
    <mergeCell ref="W4:Z4"/>
    <mergeCell ref="AD4:AG4"/>
    <mergeCell ref="V2:V4"/>
    <mergeCell ref="W2:Z2"/>
    <mergeCell ref="AC2:AC4"/>
    <mergeCell ref="A2:A4"/>
    <mergeCell ref="B2:E2"/>
    <mergeCell ref="H2:H4"/>
    <mergeCell ref="I2:L2"/>
    <mergeCell ref="O2:O4"/>
    <mergeCell ref="P2:S2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7">
      <selection activeCell="C14" sqref="C14"/>
    </sheetView>
  </sheetViews>
  <sheetFormatPr defaultColWidth="9.00390625" defaultRowHeight="16.5"/>
  <cols>
    <col min="1" max="1" width="4.75390625" style="20" customWidth="1"/>
    <col min="2" max="6" width="18.00390625" style="1" customWidth="1"/>
    <col min="7" max="16384" width="9.00390625" style="1" customWidth="1"/>
  </cols>
  <sheetData>
    <row r="1" spans="1:6" ht="50.25" customHeight="1" thickBot="1">
      <c r="A1" s="381" t="s">
        <v>234</v>
      </c>
      <c r="B1" s="381"/>
      <c r="C1" s="381"/>
      <c r="D1" s="381"/>
      <c r="E1" s="381"/>
      <c r="F1" s="381"/>
    </row>
    <row r="2" spans="1:6" s="4" customFormat="1" ht="18" customHeight="1">
      <c r="A2" s="15" t="s">
        <v>10</v>
      </c>
      <c r="B2" s="2" t="s">
        <v>9</v>
      </c>
      <c r="C2" s="2" t="s">
        <v>5</v>
      </c>
      <c r="D2" s="2" t="s">
        <v>6</v>
      </c>
      <c r="E2" s="2" t="s">
        <v>7</v>
      </c>
      <c r="F2" s="3" t="s">
        <v>8</v>
      </c>
    </row>
    <row r="3" spans="1:6" s="4" customFormat="1" ht="18" customHeight="1">
      <c r="A3" s="16" t="s">
        <v>12</v>
      </c>
      <c r="B3" s="217">
        <v>44893</v>
      </c>
      <c r="C3" s="217">
        <v>44894</v>
      </c>
      <c r="D3" s="217">
        <v>44895</v>
      </c>
      <c r="E3" s="5">
        <v>1</v>
      </c>
      <c r="F3" s="6">
        <f>E3+1</f>
        <v>2</v>
      </c>
    </row>
    <row r="4" spans="1:6" s="9" customFormat="1" ht="42" customHeight="1">
      <c r="A4" s="17" t="s">
        <v>4</v>
      </c>
      <c r="B4" s="7" t="str">
        <f>'第一周'!A6</f>
        <v>饅頭夾蛋 / 豆米漿</v>
      </c>
      <c r="C4" s="7" t="str">
        <f>'第一周'!H6</f>
        <v>蒜頭蛤蠣雞湯麵</v>
      </c>
      <c r="D4" s="7" t="str">
        <f>'第一周'!O6</f>
        <v>皎白筍肉絲粥</v>
      </c>
      <c r="E4" s="7" t="str">
        <f>'第一周'!V6</f>
        <v>吐司夾高麗菜蛋   </v>
      </c>
      <c r="F4" s="8" t="str">
        <f>'第一周'!AC6</f>
        <v>什錦炒米苔目</v>
      </c>
    </row>
    <row r="5" spans="1:6" s="9" customFormat="1" ht="42" customHeight="1">
      <c r="A5" s="18" t="s">
        <v>11</v>
      </c>
      <c r="B5" s="10" t="str">
        <f>'第一周'!A18</f>
        <v>水果拼盤  / 鮮奶</v>
      </c>
      <c r="C5" s="10" t="str">
        <f>'第一周'!H18</f>
        <v>綠豆麥片湯</v>
      </c>
      <c r="D5" s="10" t="str">
        <f>'第一周'!O18</f>
        <v>水果優格 </v>
      </c>
      <c r="E5" s="10" t="str">
        <f>'第一周'!V18</f>
        <v>水果拼盤 / 鮮奶</v>
      </c>
      <c r="F5" s="11" t="str">
        <f>'第一周'!AC18</f>
        <v>紅豆牛奶  / 水果</v>
      </c>
    </row>
    <row r="6" spans="1:6" s="9" customFormat="1" ht="18" customHeight="1">
      <c r="A6" s="16" t="s">
        <v>12</v>
      </c>
      <c r="B6" s="12">
        <v>5</v>
      </c>
      <c r="C6" s="12">
        <f>B6+1</f>
        <v>6</v>
      </c>
      <c r="D6" s="12">
        <f>C6+1</f>
        <v>7</v>
      </c>
      <c r="E6" s="12">
        <f>D6+1</f>
        <v>8</v>
      </c>
      <c r="F6" s="13">
        <f>E6+1</f>
        <v>9</v>
      </c>
    </row>
    <row r="7" spans="1:6" s="9" customFormat="1" ht="51" customHeight="1">
      <c r="A7" s="17" t="s">
        <v>4</v>
      </c>
      <c r="B7" s="7" t="str">
        <f>'第二週'!A6</f>
        <v>蔥肉餡餅  /  鮮奶米漿</v>
      </c>
      <c r="C7" s="7" t="str">
        <f>'第二週'!H6</f>
        <v>豬排刈包</v>
      </c>
      <c r="D7" s="7" t="str">
        <f>'第二週'!O6</f>
        <v>蘿蔔糕湯</v>
      </c>
      <c r="E7" s="7" t="str">
        <f>'第二週'!V6</f>
        <v>麵線糊</v>
      </c>
      <c r="F7" s="8" t="str">
        <f>'第二週'!AC6</f>
        <v>什錦炒麵</v>
      </c>
    </row>
    <row r="8" spans="1:6" s="9" customFormat="1" ht="51" customHeight="1">
      <c r="A8" s="18" t="s">
        <v>11</v>
      </c>
      <c r="B8" s="10" t="str">
        <f>'第二週'!A18</f>
        <v>山藥濃湯</v>
      </c>
      <c r="C8" s="10" t="str">
        <f>'第二週'!H18</f>
        <v>香蕉優格</v>
      </c>
      <c r="D8" s="10" t="str">
        <f>'第二週'!O18</f>
        <v>水果拼盤  / 鮮奶</v>
      </c>
      <c r="E8" s="10" t="str">
        <f>'第二週'!V18</f>
        <v>芋頭西米露 / 水果</v>
      </c>
      <c r="F8" s="11" t="str">
        <f>'第二週'!AC18</f>
        <v>水果拼盤 / 鮮奶</v>
      </c>
    </row>
    <row r="9" spans="1:6" s="9" customFormat="1" ht="18" customHeight="1">
      <c r="A9" s="16" t="s">
        <v>12</v>
      </c>
      <c r="B9" s="12">
        <f>B6+7</f>
        <v>12</v>
      </c>
      <c r="C9" s="12">
        <f>B9+1</f>
        <v>13</v>
      </c>
      <c r="D9" s="12">
        <f>C9+1</f>
        <v>14</v>
      </c>
      <c r="E9" s="12">
        <f>D9+1</f>
        <v>15</v>
      </c>
      <c r="F9" s="13">
        <f>E9+1</f>
        <v>16</v>
      </c>
    </row>
    <row r="10" spans="1:6" s="9" customFormat="1" ht="51" customHeight="1">
      <c r="A10" s="17" t="s">
        <v>4</v>
      </c>
      <c r="B10" s="7" t="str">
        <f>'第三周 '!A6</f>
        <v>水餃 / 豆米漿</v>
      </c>
      <c r="C10" s="7" t="str">
        <f>'第三周 '!H6</f>
        <v>酸辣湯麵</v>
      </c>
      <c r="D10" s="7" t="str">
        <f>'第三周 '!O6</f>
        <v>什錦炒年糕</v>
      </c>
      <c r="E10" s="7" t="str">
        <f>'第三周 '!V6</f>
        <v>鮪魚蛋吐司 / 鮮奶</v>
      </c>
      <c r="F10" s="8" t="str">
        <f>'第三周 '!AC6</f>
        <v>麻油雞乾麵</v>
      </c>
    </row>
    <row r="11" spans="1:6" s="9" customFormat="1" ht="51" customHeight="1">
      <c r="A11" s="18" t="s">
        <v>11</v>
      </c>
      <c r="B11" s="10" t="str">
        <f>'第三周 '!A18</f>
        <v>水果拼盤  /  鮮奶</v>
      </c>
      <c r="C11" s="10" t="str">
        <f>'第三周 '!H18</f>
        <v>香菇赤肉羹</v>
      </c>
      <c r="D11" s="10" t="str">
        <f>'第三周 '!O18</f>
        <v>水果拼盤  /  鮮奶</v>
      </c>
      <c r="E11" s="10" t="str">
        <f>'第三周 '!V18</f>
        <v>銀魚紫菜羹</v>
      </c>
      <c r="F11" s="11" t="str">
        <f>'第三周 '!AC18</f>
        <v>水果牛奶麥片</v>
      </c>
    </row>
    <row r="12" spans="1:6" s="9" customFormat="1" ht="18" customHeight="1">
      <c r="A12" s="16" t="s">
        <v>12</v>
      </c>
      <c r="B12" s="12">
        <f>B9+7</f>
        <v>19</v>
      </c>
      <c r="C12" s="12">
        <f>B12+1</f>
        <v>20</v>
      </c>
      <c r="D12" s="12">
        <f>C12+1</f>
        <v>21</v>
      </c>
      <c r="E12" s="12">
        <f>D12+1</f>
        <v>22</v>
      </c>
      <c r="F12" s="13">
        <f>E12+1</f>
        <v>23</v>
      </c>
    </row>
    <row r="13" spans="1:6" s="9" customFormat="1" ht="51" customHeight="1">
      <c r="A13" s="17" t="s">
        <v>4</v>
      </c>
      <c r="B13" s="7" t="str">
        <f>'第四周'!A6</f>
        <v>水煎包   /   豆漿</v>
      </c>
      <c r="C13" s="7" t="str">
        <f>'第四周'!H6</f>
        <v>大滷麵</v>
      </c>
      <c r="D13" s="7" t="str">
        <f>'第四周'!O6</f>
        <v>海鮮粥</v>
      </c>
      <c r="E13" s="7" t="str">
        <f>'第四周'!V6</f>
        <v>芋頭米粉湯</v>
      </c>
      <c r="F13" s="8" t="str">
        <f>'第四周'!AC6</f>
        <v>吻仔魚蛋炒飯</v>
      </c>
    </row>
    <row r="14" spans="1:6" s="9" customFormat="1" ht="51" customHeight="1">
      <c r="A14" s="218" t="s">
        <v>11</v>
      </c>
      <c r="B14" s="219" t="str">
        <f>'第四周'!A18</f>
        <v>水果拼盤  /  鮮奶</v>
      </c>
      <c r="C14" s="219" t="str">
        <f>'第四周'!H18</f>
        <v>綠豆牛奶</v>
      </c>
      <c r="D14" s="219" t="str">
        <f>'第四周'!O18</f>
        <v>玉米濃湯    </v>
      </c>
      <c r="E14" s="219" t="str">
        <f>'第四周'!V18</f>
        <v>香蕉優格</v>
      </c>
      <c r="F14" s="220" t="str">
        <f>'第四周'!AC18</f>
        <v>水果拼盤  /  鮮奶</v>
      </c>
    </row>
    <row r="15" spans="1:6" s="9" customFormat="1" ht="18" customHeight="1">
      <c r="A15" s="16" t="s">
        <v>12</v>
      </c>
      <c r="B15" s="12">
        <f>B12+7</f>
        <v>26</v>
      </c>
      <c r="C15" s="12">
        <f>C12+7</f>
        <v>27</v>
      </c>
      <c r="D15" s="12">
        <f>D12+7</f>
        <v>28</v>
      </c>
      <c r="E15" s="12">
        <f>E12+7</f>
        <v>29</v>
      </c>
      <c r="F15" s="13">
        <f>F12+7</f>
        <v>30</v>
      </c>
    </row>
    <row r="16" spans="1:6" s="9" customFormat="1" ht="51" customHeight="1">
      <c r="A16" s="17" t="s">
        <v>4</v>
      </c>
      <c r="B16" s="7" t="str">
        <f>'第五周'!A6</f>
        <v>芝麻包   /   豆漿鮮奶</v>
      </c>
      <c r="C16" s="7" t="str">
        <f>'第五周'!H6</f>
        <v>肉醬義大利麵</v>
      </c>
      <c r="D16" s="7" t="str">
        <f>'第五周'!O6</f>
        <v>麻油蛋麵線</v>
      </c>
      <c r="E16" s="7" t="str">
        <f>'第五周'!V6</f>
        <v>蘿蔔糕炒蛋</v>
      </c>
      <c r="F16" s="8" t="str">
        <f>'第五周'!AC6</f>
        <v>炒粄條</v>
      </c>
    </row>
    <row r="17" spans="1:6" s="9" customFormat="1" ht="51" customHeight="1" thickBot="1">
      <c r="A17" s="19" t="s">
        <v>11</v>
      </c>
      <c r="B17" s="14" t="str">
        <f>'第五周'!A18</f>
        <v>木瓜優格</v>
      </c>
      <c r="C17" s="14" t="str">
        <f>'第五周'!H18</f>
        <v>水果拼盤  /  鮮奶</v>
      </c>
      <c r="D17" s="14" t="str">
        <f>'第五周'!O18</f>
        <v>地瓜湯圓 / 水果</v>
      </c>
      <c r="E17" s="14" t="str">
        <f>'第五周'!V18</f>
        <v>餛飩湯</v>
      </c>
      <c r="F17" s="238" t="str">
        <f>'第五周'!AC18</f>
        <v>水果拼盤  /  鮮奶</v>
      </c>
    </row>
    <row r="18" spans="1:6" ht="18.75">
      <c r="A18" s="382" t="s">
        <v>169</v>
      </c>
      <c r="B18" s="382"/>
      <c r="C18" s="382"/>
      <c r="D18" s="382"/>
      <c r="E18" s="382"/>
      <c r="F18" s="382"/>
    </row>
  </sheetData>
  <sheetProtection/>
  <mergeCells count="2">
    <mergeCell ref="A1:F1"/>
    <mergeCell ref="A18:F18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2021-11-26T04:05:25Z</cp:lastPrinted>
  <dcterms:created xsi:type="dcterms:W3CDTF">2014-08-13T02:32:12Z</dcterms:created>
  <dcterms:modified xsi:type="dcterms:W3CDTF">2022-11-23T01:52:03Z</dcterms:modified>
  <cp:category/>
  <cp:version/>
  <cp:contentType/>
  <cp:contentStatus/>
</cp:coreProperties>
</file>