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35" windowHeight="8505" activeTab="2"/>
  </bookViews>
  <sheets>
    <sheet name="第一周" sheetId="1" r:id="rId1"/>
    <sheet name="第二週" sheetId="2" r:id="rId2"/>
    <sheet name="第三周 " sheetId="3" r:id="rId3"/>
    <sheet name="第四周" sheetId="4" r:id="rId4"/>
    <sheet name="第五周" sheetId="5" r:id="rId5"/>
    <sheet name="總表" sheetId="6" r:id="rId6"/>
  </sheets>
  <definedNames>
    <definedName name="_xlfn.SINGLE" hidden="1">#NAME?</definedName>
    <definedName name="_xlnm.Print_Area" localSheetId="0">'第一周'!$A$1:$AI$35</definedName>
    <definedName name="_xlnm.Print_Area" localSheetId="1">'第二週'!$A$1:$AI$34</definedName>
    <definedName name="_xlnm.Print_Area" localSheetId="2">'第三周 '!$A$1:$AI$34</definedName>
    <definedName name="_xlnm.Print_Area" localSheetId="4">'第五周'!$A$1:$AP$34</definedName>
    <definedName name="_xlnm.Print_Area" localSheetId="3">'第四周'!$A$1:$AI$34</definedName>
  </definedNames>
  <calcPr fullCalcOnLoad="1"/>
</workbook>
</file>

<file path=xl/comments1.xml><?xml version="1.0" encoding="utf-8"?>
<comments xmlns="http://schemas.openxmlformats.org/spreadsheetml/2006/main">
  <authors>
    <author>ST</author>
  </authors>
  <commentList>
    <comment ref="AF19" authorId="0">
      <text>
        <r>
          <rPr>
            <b/>
            <sz val="9"/>
            <rFont val="Tahoma"/>
            <family val="2"/>
          </rPr>
          <t>ST: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改</t>
        </r>
        <r>
          <rPr>
            <sz val="12"/>
            <rFont val="Tahoma"/>
            <family val="2"/>
          </rPr>
          <t>2K</t>
        </r>
      </text>
    </comment>
  </commentList>
</comments>
</file>

<file path=xl/comments2.xml><?xml version="1.0" encoding="utf-8"?>
<comments xmlns="http://schemas.openxmlformats.org/spreadsheetml/2006/main">
  <authors>
    <author>ST</author>
  </authors>
  <commentList>
    <comment ref="B6" authorId="0">
      <text>
        <r>
          <rPr>
            <b/>
            <sz val="9"/>
            <rFont val="Tahoma"/>
            <family val="2"/>
          </rPr>
          <t>ST: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奇美筍香包</t>
        </r>
        <r>
          <rPr>
            <sz val="12"/>
            <rFont val="Tahoma"/>
            <family val="2"/>
          </rPr>
          <t>65G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ST:
</t>
        </r>
        <r>
          <rPr>
            <b/>
            <sz val="12"/>
            <rFont val="細明體"/>
            <family val="3"/>
          </rPr>
          <t>改</t>
        </r>
        <r>
          <rPr>
            <b/>
            <sz val="12"/>
            <rFont val="Tahoma"/>
            <family val="2"/>
          </rPr>
          <t>2</t>
        </r>
        <r>
          <rPr>
            <b/>
            <sz val="12"/>
            <rFont val="細明體"/>
            <family val="3"/>
          </rPr>
          <t>包</t>
        </r>
      </text>
    </comment>
    <comment ref="R17" authorId="0">
      <text>
        <r>
          <rPr>
            <b/>
            <sz val="9"/>
            <rFont val="Tahoma"/>
            <family val="2"/>
          </rPr>
          <t>ST: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改成</t>
        </r>
        <r>
          <rPr>
            <sz val="12"/>
            <rFont val="Tahoma"/>
            <family val="2"/>
          </rPr>
          <t>4K</t>
        </r>
      </text>
    </comment>
    <comment ref="Y24" authorId="0">
      <text>
        <r>
          <rPr>
            <b/>
            <sz val="9"/>
            <rFont val="Tahoma"/>
            <family val="2"/>
          </rPr>
          <t xml:space="preserve">ST:
</t>
        </r>
        <r>
          <rPr>
            <b/>
            <sz val="12"/>
            <rFont val="細明體"/>
            <family val="3"/>
          </rPr>
          <t>要改</t>
        </r>
        <r>
          <rPr>
            <sz val="12"/>
            <rFont val="Tahoma"/>
            <family val="2"/>
          </rPr>
          <t>4.5K</t>
        </r>
        <r>
          <rPr>
            <sz val="12"/>
            <rFont val="細明體"/>
            <family val="3"/>
          </rPr>
          <t>嗎</t>
        </r>
      </text>
    </comment>
    <comment ref="AF6" authorId="0">
      <text>
        <r>
          <rPr>
            <b/>
            <sz val="9"/>
            <rFont val="Tahoma"/>
            <family val="2"/>
          </rPr>
          <t xml:space="preserve">ST:
</t>
        </r>
        <r>
          <rPr>
            <b/>
            <sz val="9"/>
            <rFont val="細明體"/>
            <family val="3"/>
          </rPr>
          <t>一包</t>
        </r>
        <r>
          <rPr>
            <b/>
            <sz val="9"/>
            <rFont val="Tahoma"/>
            <family val="2"/>
          </rPr>
          <t>10</t>
        </r>
        <r>
          <rPr>
            <b/>
            <sz val="9"/>
            <rFont val="細明體"/>
            <family val="3"/>
          </rPr>
          <t>片</t>
        </r>
        <r>
          <rPr>
            <sz val="9"/>
            <rFont val="細明體"/>
            <family val="3"/>
          </rPr>
          <t>一片</t>
        </r>
        <r>
          <rPr>
            <sz val="9"/>
            <rFont val="Tahoma"/>
            <family val="2"/>
          </rPr>
          <t xml:space="preserve">100G
</t>
        </r>
        <r>
          <rPr>
            <sz val="9"/>
            <rFont val="細明體"/>
            <family val="3"/>
          </rPr>
          <t>改</t>
        </r>
        <r>
          <rPr>
            <sz val="9"/>
            <rFont val="Tahoma"/>
            <family val="2"/>
          </rPr>
          <t>70</t>
        </r>
        <r>
          <rPr>
            <sz val="9"/>
            <rFont val="細明體"/>
            <family val="3"/>
          </rPr>
          <t>片</t>
        </r>
      </text>
    </comment>
    <comment ref="AF11" authorId="0">
      <text>
        <r>
          <rPr>
            <b/>
            <sz val="9"/>
            <rFont val="Tahoma"/>
            <family val="2"/>
          </rPr>
          <t>ST: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936CC</t>
        </r>
        <r>
          <rPr>
            <sz val="12"/>
            <rFont val="細明體"/>
            <family val="3"/>
          </rPr>
          <t>改</t>
        </r>
        <r>
          <rPr>
            <sz val="12"/>
            <rFont val="Tahoma"/>
            <family val="2"/>
          </rPr>
          <t>6</t>
        </r>
        <r>
          <rPr>
            <sz val="12"/>
            <rFont val="細明體"/>
            <family val="3"/>
          </rPr>
          <t>罐</t>
        </r>
      </text>
    </comment>
    <comment ref="AD19" authorId="0">
      <text>
        <r>
          <rPr>
            <b/>
            <sz val="9"/>
            <rFont val="Tahoma"/>
            <family val="2"/>
          </rPr>
          <t>ST: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改紅地球葡萄</t>
        </r>
      </text>
    </comment>
  </commentList>
</comments>
</file>

<file path=xl/comments3.xml><?xml version="1.0" encoding="utf-8"?>
<comments xmlns="http://schemas.openxmlformats.org/spreadsheetml/2006/main">
  <authors>
    <author>ST</author>
  </authors>
  <commentList>
    <comment ref="D6" authorId="0">
      <text>
        <r>
          <rPr>
            <b/>
            <sz val="9"/>
            <rFont val="Tahoma"/>
            <family val="2"/>
          </rPr>
          <t>ST: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一包</t>
        </r>
        <r>
          <rPr>
            <sz val="12"/>
            <rFont val="Tahoma"/>
            <family val="2"/>
          </rPr>
          <t>30</t>
        </r>
        <r>
          <rPr>
            <sz val="12"/>
            <rFont val="細明體"/>
            <family val="3"/>
          </rPr>
          <t>顆</t>
        </r>
        <r>
          <rPr>
            <sz val="12"/>
            <rFont val="Tahoma"/>
            <family val="2"/>
          </rPr>
          <t>&gt;90</t>
        </r>
        <r>
          <rPr>
            <sz val="12"/>
            <rFont val="細明體"/>
            <family val="3"/>
          </rPr>
          <t>顆</t>
        </r>
      </text>
    </comment>
    <comment ref="D9" authorId="0">
      <text>
        <r>
          <rPr>
            <b/>
            <sz val="9"/>
            <rFont val="Tahoma"/>
            <family val="2"/>
          </rPr>
          <t>ST: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改</t>
        </r>
        <r>
          <rPr>
            <sz val="12"/>
            <rFont val="Tahoma"/>
            <family val="2"/>
          </rPr>
          <t>37</t>
        </r>
        <r>
          <rPr>
            <sz val="12"/>
            <rFont val="細明體"/>
            <family val="3"/>
          </rPr>
          <t>根</t>
        </r>
      </text>
    </comment>
    <comment ref="K12" authorId="0">
      <text>
        <r>
          <rPr>
            <b/>
            <sz val="9"/>
            <rFont val="Tahoma"/>
            <family val="2"/>
          </rPr>
          <t>ST: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改</t>
        </r>
        <r>
          <rPr>
            <sz val="12"/>
            <rFont val="Tahoma"/>
            <family val="2"/>
          </rPr>
          <t>6</t>
        </r>
        <r>
          <rPr>
            <sz val="12"/>
            <rFont val="細明體"/>
            <family val="3"/>
          </rPr>
          <t>罐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W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190G
</t>
        </r>
      </text>
    </comment>
  </commentList>
</comments>
</file>

<file path=xl/comments5.xml><?xml version="1.0" encoding="utf-8"?>
<comments xmlns="http://schemas.openxmlformats.org/spreadsheetml/2006/main">
  <authors>
    <author>ST</author>
  </authors>
  <commentList>
    <comment ref="P6" authorId="0">
      <text>
        <r>
          <rPr>
            <b/>
            <sz val="9"/>
            <rFont val="Tahoma"/>
            <family val="2"/>
          </rPr>
          <t>ST: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沒有</t>
        </r>
        <r>
          <rPr>
            <sz val="12"/>
            <rFont val="Tahoma"/>
            <family val="2"/>
          </rPr>
          <t>CAS</t>
        </r>
      </text>
    </comment>
    <comment ref="R6" authorId="0">
      <text>
        <r>
          <rPr>
            <b/>
            <sz val="9"/>
            <rFont val="Tahoma"/>
            <family val="2"/>
          </rPr>
          <t>ST: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一包</t>
        </r>
        <r>
          <rPr>
            <sz val="12"/>
            <rFont val="Tahoma"/>
            <family val="2"/>
          </rPr>
          <t>20</t>
        </r>
        <r>
          <rPr>
            <sz val="12"/>
            <rFont val="細明體"/>
            <family val="3"/>
          </rPr>
          <t>入</t>
        </r>
        <r>
          <rPr>
            <sz val="12"/>
            <rFont val="Tahoma"/>
            <family val="2"/>
          </rPr>
          <t>&gt;80</t>
        </r>
        <r>
          <rPr>
            <sz val="12"/>
            <rFont val="細明體"/>
            <family val="3"/>
          </rPr>
          <t>個</t>
        </r>
      </text>
    </comment>
  </commentList>
</comments>
</file>

<file path=xl/sharedStrings.xml><?xml version="1.0" encoding="utf-8"?>
<sst xmlns="http://schemas.openxmlformats.org/spreadsheetml/2006/main" count="1387" uniqueCount="285">
  <si>
    <t>K</t>
  </si>
  <si>
    <t>高麗菜</t>
  </si>
  <si>
    <t>K</t>
  </si>
  <si>
    <t>上午</t>
  </si>
  <si>
    <t>星期二</t>
  </si>
  <si>
    <t>星期三</t>
  </si>
  <si>
    <t>星期四</t>
  </si>
  <si>
    <t>星期五</t>
  </si>
  <si>
    <t>星期一</t>
  </si>
  <si>
    <t>星期</t>
  </si>
  <si>
    <t>下午</t>
  </si>
  <si>
    <t>日期</t>
  </si>
  <si>
    <t>統一鮮奶2L</t>
  </si>
  <si>
    <t>統一鮮奶2L(低脂</t>
  </si>
  <si>
    <t>個</t>
  </si>
  <si>
    <t>綠巨人玉米粒(311G)</t>
  </si>
  <si>
    <t>無籽葡萄</t>
  </si>
  <si>
    <t>芭樂</t>
  </si>
  <si>
    <t>罐</t>
  </si>
  <si>
    <t>包</t>
  </si>
  <si>
    <t>庫</t>
  </si>
  <si>
    <t>盒</t>
  </si>
  <si>
    <t>洋蔥</t>
  </si>
  <si>
    <t>菜名</t>
  </si>
  <si>
    <t>食材</t>
  </si>
  <si>
    <t>1人</t>
  </si>
  <si>
    <t>數量</t>
  </si>
  <si>
    <t>單位</t>
  </si>
  <si>
    <t>單價</t>
  </si>
  <si>
    <t>成本</t>
  </si>
  <si>
    <t>小米飯</t>
  </si>
  <si>
    <t>糙米飯</t>
  </si>
  <si>
    <t>特餐</t>
  </si>
  <si>
    <t>十穀飯</t>
  </si>
  <si>
    <t>中秋特餐/韓式燒肉飯</t>
  </si>
  <si>
    <t>上午</t>
  </si>
  <si>
    <t>洋蔥去皮</t>
  </si>
  <si>
    <t>洗選蛋</t>
  </si>
  <si>
    <t>下午</t>
  </si>
  <si>
    <t>八寶甜湯</t>
  </si>
  <si>
    <t>紅豆0.2k</t>
  </si>
  <si>
    <t>水果拼盤  / 鮮奶</t>
  </si>
  <si>
    <t>木瓜</t>
  </si>
  <si>
    <t>十榖米0.2k</t>
  </si>
  <si>
    <t>葡萄</t>
  </si>
  <si>
    <t>麥片0.2k</t>
  </si>
  <si>
    <t>小米0.2k</t>
  </si>
  <si>
    <t>罐</t>
  </si>
  <si>
    <t>綠豆0.2k</t>
  </si>
  <si>
    <t>二砂糖</t>
  </si>
  <si>
    <t xml:space="preserve">營養師：                                                       學務主任：                                                        校長：                                </t>
  </si>
  <si>
    <t>顆</t>
  </si>
  <si>
    <t>刈包夾鮪魚蛋   /   豆漿</t>
  </si>
  <si>
    <t>刈包</t>
  </si>
  <si>
    <t>顆</t>
  </si>
  <si>
    <t>鮪魚罐小</t>
  </si>
  <si>
    <t>蔥</t>
  </si>
  <si>
    <t>光泉低糖豆漿2L</t>
  </si>
  <si>
    <t>大蘋果</t>
  </si>
  <si>
    <t>玉米粒綠巨人</t>
  </si>
  <si>
    <t>片</t>
  </si>
  <si>
    <r>
      <t xml:space="preserve">                                                                      </t>
    </r>
    <r>
      <rPr>
        <b/>
        <sz val="12"/>
        <rFont val="微軟正黑體"/>
        <family val="2"/>
      </rPr>
      <t xml:space="preserve">幼兒園主任： </t>
    </r>
  </si>
  <si>
    <t>黃金奇異果</t>
  </si>
  <si>
    <t>紅蘿蔔</t>
  </si>
  <si>
    <t>紅蘿蔔</t>
  </si>
  <si>
    <t>吐司(長)</t>
  </si>
  <si>
    <t>條</t>
  </si>
  <si>
    <t>砂糖</t>
  </si>
  <si>
    <t>水7000c.c.</t>
  </si>
  <si>
    <t>生香菇</t>
  </si>
  <si>
    <t>生香菇</t>
  </si>
  <si>
    <t>薑片</t>
  </si>
  <si>
    <t>水果牛奶麥片</t>
  </si>
  <si>
    <t>香蕉</t>
  </si>
  <si>
    <t>根</t>
  </si>
  <si>
    <t>三環麵線0.6K</t>
  </si>
  <si>
    <t>山藥</t>
  </si>
  <si>
    <t>金針菇</t>
  </si>
  <si>
    <t>乾香菇</t>
  </si>
  <si>
    <t>營養分析</t>
  </si>
  <si>
    <t>全穀雜糧類(份)</t>
  </si>
  <si>
    <t>豆魚蛋肉類(份)</t>
  </si>
  <si>
    <t>油脂與堅果種子(份)</t>
  </si>
  <si>
    <t>油脂與堅果種子(份)</t>
  </si>
  <si>
    <t>蔬菜類(份)</t>
  </si>
  <si>
    <t>水果類(份)</t>
  </si>
  <si>
    <t>奶類(份)</t>
  </si>
  <si>
    <t>總熱量(大卡)</t>
  </si>
  <si>
    <t>食材</t>
  </si>
  <si>
    <t>水果拼盤  /  鮮奶</t>
  </si>
  <si>
    <t>小香菇</t>
  </si>
  <si>
    <t>紅蔥頭0.2</t>
  </si>
  <si>
    <t>大水梨</t>
  </si>
  <si>
    <t>大白菜</t>
  </si>
  <si>
    <t>低脂絞肉(0.5K)</t>
  </si>
  <si>
    <t>統一鮮奶1L</t>
  </si>
  <si>
    <t>光泉低糖豆漿(約2公升)</t>
  </si>
  <si>
    <t>前一天先進</t>
  </si>
  <si>
    <t>果凍食材</t>
  </si>
  <si>
    <t>馬鈴薯</t>
  </si>
  <si>
    <t>玉米醬綠巨人</t>
  </si>
  <si>
    <t>洋菇</t>
  </si>
  <si>
    <t>紅龍果</t>
  </si>
  <si>
    <t>百香果</t>
  </si>
  <si>
    <t>洋菜條:水=1包:3500c.c.</t>
  </si>
  <si>
    <t>自製水果凍</t>
  </si>
  <si>
    <t>洋菜條30g/包</t>
  </si>
  <si>
    <t>餛飩麵</t>
  </si>
  <si>
    <t>桂冠雲吞12入</t>
  </si>
  <si>
    <t>盒</t>
  </si>
  <si>
    <t>小白菜</t>
  </si>
  <si>
    <t>包</t>
  </si>
  <si>
    <t>金針菇</t>
  </si>
  <si>
    <t>柴魚片 5G</t>
  </si>
  <si>
    <t>奇美高麗菜包65G</t>
  </si>
  <si>
    <t>白莧菜</t>
  </si>
  <si>
    <t>吻仔魚</t>
  </si>
  <si>
    <t>中華盒裝豆腐</t>
  </si>
  <si>
    <t>牛番茄</t>
  </si>
  <si>
    <t>義式香料</t>
  </si>
  <si>
    <t>芋頭西米露 / 水果</t>
  </si>
  <si>
    <t>芋頭去皮</t>
  </si>
  <si>
    <t>西谷米</t>
  </si>
  <si>
    <t>芋頭煮糊</t>
  </si>
  <si>
    <t>(煮稀,水放少以牛奶為主)</t>
  </si>
  <si>
    <t>炒年糕</t>
  </si>
  <si>
    <t>小木耳</t>
  </si>
  <si>
    <t>低脂肉絲0.5K</t>
  </si>
  <si>
    <t>南瓜濃湯</t>
  </si>
  <si>
    <t>南瓜</t>
  </si>
  <si>
    <t>糙米</t>
  </si>
  <si>
    <t>庫</t>
  </si>
  <si>
    <t>白米</t>
  </si>
  <si>
    <t>低脂絞肉(1K)cas</t>
  </si>
  <si>
    <t>胡椒粉262G</t>
  </si>
  <si>
    <t>芹菜</t>
  </si>
  <si>
    <t>肉醬義大利麵</t>
  </si>
  <si>
    <t>義大利貝殼麵</t>
  </si>
  <si>
    <t>低脂絞肉(1K)</t>
  </si>
  <si>
    <t>玉米筍</t>
  </si>
  <si>
    <t>冷凍青花椰</t>
  </si>
  <si>
    <t>番茄醬(340G)</t>
  </si>
  <si>
    <t>紅蔥頭(先送)</t>
  </si>
  <si>
    <t>洋蔥去皮</t>
  </si>
  <si>
    <t>高麗菜</t>
  </si>
  <si>
    <t>紅蔥頭(先送)</t>
  </si>
  <si>
    <t>低脂肉絲(1K)</t>
  </si>
  <si>
    <t>起司片</t>
  </si>
  <si>
    <t>蘑菇濃湯</t>
  </si>
  <si>
    <t>洋芋去皮</t>
  </si>
  <si>
    <t>玉米粒CAS</t>
  </si>
  <si>
    <t>奇美熟水餃(200)</t>
  </si>
  <si>
    <t>(高麗菜水餃)</t>
  </si>
  <si>
    <t>紫米紅豆珍珠奶</t>
  </si>
  <si>
    <t>紅豆1K</t>
  </si>
  <si>
    <t>瓜瓜園地瓜珍珠圓</t>
  </si>
  <si>
    <r>
      <t>統一</t>
    </r>
    <r>
      <rPr>
        <sz val="12"/>
        <color indexed="10"/>
        <rFont val="微軟正黑體"/>
        <family val="2"/>
      </rPr>
      <t>鮮奶2L</t>
    </r>
  </si>
  <si>
    <t>紫米0.3K</t>
  </si>
  <si>
    <t>黑糖(450G)</t>
  </si>
  <si>
    <t>(牛奶供應前加)</t>
  </si>
  <si>
    <t>煎餃 / 優酪乳</t>
  </si>
  <si>
    <t xml:space="preserve">吐司夾鮪魚蛋   </t>
  </si>
  <si>
    <t>糙米0.4</t>
  </si>
  <si>
    <t>蓮霧</t>
  </si>
  <si>
    <t>紅棗</t>
  </si>
  <si>
    <r>
      <t>三環麵線</t>
    </r>
    <r>
      <rPr>
        <sz val="12"/>
        <rFont val="Times New Roman"/>
        <family val="1"/>
      </rPr>
      <t>0.6K</t>
    </r>
  </si>
  <si>
    <t>菜包     /  水果 / 牛奶</t>
  </si>
  <si>
    <t>香菇雞麵線 / 水果</t>
  </si>
  <si>
    <t>水梨</t>
  </si>
  <si>
    <t>乾白木耳先送</t>
  </si>
  <si>
    <t>紅棗(先送)</t>
  </si>
  <si>
    <t>桂圓乾(先送)</t>
  </si>
  <si>
    <t>大盒</t>
  </si>
  <si>
    <t>鮭魚蛋炒飯</t>
  </si>
  <si>
    <t>鮭魚片</t>
  </si>
  <si>
    <t>小番茄</t>
  </si>
  <si>
    <t>玉米濃湯  /  水果</t>
  </si>
  <si>
    <t>低脂絞肉(0.3K)</t>
  </si>
  <si>
    <t xml:space="preserve">起司肉末粥 </t>
  </si>
  <si>
    <t>低脂絞肉(0.6K)</t>
  </si>
  <si>
    <t>什錦炒米粉</t>
  </si>
  <si>
    <t>桂圓紅棗銀耳奶  /  水果</t>
  </si>
  <si>
    <t>低脂肉片0.6</t>
  </si>
  <si>
    <t>麻油赤肉麵線</t>
  </si>
  <si>
    <t>水煎包  /  豆漿鮮奶</t>
  </si>
  <si>
    <t>【本校一律使用國產豬、牛肉食材】</t>
  </si>
  <si>
    <t>乾海帶芽600G</t>
  </si>
  <si>
    <t>洗選蛋(盒</t>
  </si>
  <si>
    <t>二砂1K(台糖</t>
  </si>
  <si>
    <t>乾豆捲</t>
  </si>
  <si>
    <t>鴻禧菇100G</t>
  </si>
  <si>
    <t>乾米粉250G</t>
  </si>
  <si>
    <t>光泉米漿1L</t>
  </si>
  <si>
    <t>起司片12入</t>
  </si>
  <si>
    <t>蒜頭</t>
  </si>
  <si>
    <t>水果拼盤 / 鮮奶</t>
  </si>
  <si>
    <t>鮮奶1L</t>
  </si>
  <si>
    <t>蛤蜊(大</t>
  </si>
  <si>
    <t>蒜瓣</t>
  </si>
  <si>
    <r>
      <rPr>
        <sz val="12"/>
        <color indexed="8"/>
        <rFont val="微軟正黑體"/>
        <family val="2"/>
      </rPr>
      <t>庫</t>
    </r>
  </si>
  <si>
    <t>蒜頭蛤蠣麵</t>
  </si>
  <si>
    <t>白小油麵</t>
  </si>
  <si>
    <t>雞腿丁</t>
  </si>
  <si>
    <t>肉骨茶包60G</t>
  </si>
  <si>
    <t>三環麵線0.6K</t>
  </si>
  <si>
    <t>綠豆牛奶</t>
  </si>
  <si>
    <t>綠豆</t>
  </si>
  <si>
    <t>麥片0.5</t>
  </si>
  <si>
    <t>花枝稀飯</t>
  </si>
  <si>
    <t>木耳</t>
  </si>
  <si>
    <t>肉骨茶肉片湯麵線</t>
  </si>
  <si>
    <t>火鍋肉片cas</t>
  </si>
  <si>
    <t>白蘿蔔</t>
  </si>
  <si>
    <t>吐司夾洋蔥肉片</t>
  </si>
  <si>
    <t>吐司長</t>
  </si>
  <si>
    <t>小白油麵</t>
  </si>
  <si>
    <t>大瓜鮮菇粥</t>
  </si>
  <si>
    <t>大黃瓜</t>
  </si>
  <si>
    <t>冷凍水煎包</t>
  </si>
  <si>
    <t>養樂多9罐</t>
  </si>
  <si>
    <t>統一優酪乳(約1公升)</t>
  </si>
  <si>
    <t>鮮乳(約1公升)</t>
  </si>
  <si>
    <t>養樂多6罐</t>
  </si>
  <si>
    <t>鮮筍肉包 / 鮮奶</t>
  </si>
  <si>
    <t>蘿蔔糕炒蛋  /  豆米漿</t>
  </si>
  <si>
    <t>低糖豆漿</t>
  </si>
  <si>
    <t>米漿</t>
  </si>
  <si>
    <t>黑糖450G</t>
  </si>
  <si>
    <t>清雞片</t>
  </si>
  <si>
    <r>
      <rPr>
        <sz val="12"/>
        <color indexed="10"/>
        <rFont val="微軟正黑體"/>
        <family val="2"/>
      </rPr>
      <t>鮮奶</t>
    </r>
    <r>
      <rPr>
        <sz val="12"/>
        <color indexed="10"/>
        <rFont val="微軟正黑體"/>
        <family val="2"/>
      </rPr>
      <t>1L</t>
    </r>
  </si>
  <si>
    <t>(0.5根/人)</t>
  </si>
  <si>
    <t>低糖豆漿(約1公升)</t>
  </si>
  <si>
    <t>桂格即沖即食大燕麥片700g</t>
  </si>
  <si>
    <t>低脂肉絲1K</t>
  </si>
  <si>
    <t>蔬菜蛋麵線</t>
  </si>
  <si>
    <t>清胸雞絲</t>
  </si>
  <si>
    <t>花枝</t>
  </si>
  <si>
    <t>火鍋肉片</t>
  </si>
  <si>
    <t>刈包夾蔬菜肉片</t>
  </si>
  <si>
    <t>中華盒裝豆腐</t>
  </si>
  <si>
    <t>酸辣湯餃</t>
  </si>
  <si>
    <r>
      <t>赤肉絲</t>
    </r>
    <r>
      <rPr>
        <sz val="12"/>
        <rFont val="Times New Roman"/>
        <family val="1"/>
      </rPr>
      <t>1k</t>
    </r>
  </si>
  <si>
    <t>大滷麵</t>
  </si>
  <si>
    <t>桂冠肉包</t>
  </si>
  <si>
    <t>肉包     /   鮮奶</t>
  </si>
  <si>
    <t>週點心食譜設計表</t>
  </si>
  <si>
    <t>僑愛國民小學112學年度下學期第</t>
  </si>
  <si>
    <t>瓠瓜鮮菇粥</t>
  </si>
  <si>
    <t>瓠瓜</t>
  </si>
  <si>
    <t>有機核桃蔓越莓麥片</t>
  </si>
  <si>
    <t>(米森家樂福450g)</t>
  </si>
  <si>
    <t>放假</t>
  </si>
  <si>
    <t>桂冠蛋餅皮</t>
  </si>
  <si>
    <t>片</t>
  </si>
  <si>
    <t>洗選蛋</t>
  </si>
  <si>
    <t>香蕉(小)</t>
  </si>
  <si>
    <t>洋芋</t>
  </si>
  <si>
    <t>蘑菇濃湯 /水果</t>
  </si>
  <si>
    <t>起司蛋餅 / 米漿牛奶</t>
  </si>
  <si>
    <t>米漿1L</t>
  </si>
  <si>
    <t>紅地球葡萄</t>
  </si>
  <si>
    <t>銀魚蔬菜羹/水果</t>
  </si>
  <si>
    <t>乾海帶芽</t>
  </si>
  <si>
    <t>港式蘿蔔糕10片1K/條</t>
  </si>
  <si>
    <t>桂冠筍香包cas</t>
  </si>
  <si>
    <t>餡餅  /  豆漿鮮奶</t>
  </si>
  <si>
    <t>紫米紅豆西谷米</t>
  </si>
  <si>
    <t>蔬菜蛋麵線    /   水果</t>
  </si>
  <si>
    <t>薑絲</t>
  </si>
  <si>
    <t>親職日</t>
  </si>
  <si>
    <t>義美蛋餅皮5入</t>
  </si>
  <si>
    <t>銀魚菠菜羹</t>
  </si>
  <si>
    <t>菠菜</t>
  </si>
  <si>
    <t>起司片 12片/包</t>
  </si>
  <si>
    <t>低脂絞肉(1K</t>
  </si>
  <si>
    <t>杏鮑菇</t>
  </si>
  <si>
    <t>桂冠餡餅50入/包</t>
  </si>
  <si>
    <t>鮪魚罐(190g)</t>
  </si>
  <si>
    <t>寧波年糕(0.55K)</t>
  </si>
  <si>
    <t>刈包 桂冠</t>
  </si>
  <si>
    <t>香菇雞麵 / 水果</t>
  </si>
  <si>
    <t>骨腿丁</t>
  </si>
  <si>
    <t>起司紅蘿蔔蛋餅 / 鮮奶米漿</t>
  </si>
  <si>
    <t>養樂多1罐</t>
  </si>
  <si>
    <t xml:space="preserve"> 僑愛國小幼兒園113年3月點心菜單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</si>
</sst>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0_);[Red]\(0\)"/>
    <numFmt numFmtId="182" formatCode="m/d"/>
    <numFmt numFmtId="183" formatCode="m&quot;月&quot;d&quot;日&quot;"/>
    <numFmt numFmtId="184" formatCode="m&quot;月&quot;d&quot;日(六)&quot;"/>
    <numFmt numFmtId="185" formatCode="mmm\-yyyy"/>
    <numFmt numFmtId="186" formatCode="0.0_ "/>
    <numFmt numFmtId="187" formatCode="0.000"/>
    <numFmt numFmtId="188" formatCode="0.0"/>
    <numFmt numFmtId="189" formatCode="yyyy/mm/dd;@"/>
    <numFmt numFmtId="190" formatCode="yyyy/mm/dd"/>
    <numFmt numFmtId="191" formatCode="&quot;祥安國民小學105學年度下學期第&quot;#&quot;週午餐食譜設計表(葷)&quot;"/>
    <numFmt numFmtId="192" formatCode="#,###&quot;人&quot;"/>
    <numFmt numFmtId="193" formatCode="0.0_);[Red]\(0.0\)"/>
    <numFmt numFmtId="194" formatCode="#,###.0&quot;份&quot;"/>
    <numFmt numFmtId="195" formatCode="###&quot;大卡&quot;"/>
    <numFmt numFmtId="196" formatCode="#,###&quot;筆&quot;"/>
    <numFmt numFmtId="197" formatCode="#,###&quot;元&quot;"/>
    <numFmt numFmtId="198" formatCode="#,###&quot;個&quot;"/>
    <numFmt numFmtId="199" formatCode="&quot;人/&quot;#,##0.00&quot;元&quot;"/>
    <numFmt numFmtId="200" formatCode="&quot;平均成本人/&quot;#,##0.00&quot;元&quot;"/>
    <numFmt numFmtId="201" formatCode="&quot;僑愛國民小學附設幼稚園110學年度第二學期第&quot;#&quot;週食譜設計表&quot;"/>
    <numFmt numFmtId="202" formatCode="[$-404]AM/PM\ hh:mm:ss"/>
  </numFmts>
  <fonts count="95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20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sz val="12"/>
      <color indexed="8"/>
      <name val="微軟正黑體"/>
      <family val="2"/>
    </font>
    <font>
      <b/>
      <sz val="16"/>
      <name val="微軟正黑體"/>
      <family val="2"/>
    </font>
    <font>
      <b/>
      <sz val="12"/>
      <color indexed="12"/>
      <name val="微軟正黑體"/>
      <family val="2"/>
    </font>
    <font>
      <sz val="12"/>
      <color indexed="12"/>
      <name val="微軟正黑體"/>
      <family val="2"/>
    </font>
    <font>
      <sz val="12"/>
      <color indexed="10"/>
      <name val="微軟正黑體"/>
      <family val="2"/>
    </font>
    <font>
      <sz val="10"/>
      <name val="微軟正黑體"/>
      <family val="2"/>
    </font>
    <font>
      <b/>
      <sz val="18"/>
      <name val="微軟正黑體"/>
      <family val="2"/>
    </font>
    <font>
      <sz val="18"/>
      <color indexed="12"/>
      <name val="微軟正黑體"/>
      <family val="2"/>
    </font>
    <font>
      <sz val="18"/>
      <name val="微軟正黑體"/>
      <family val="2"/>
    </font>
    <font>
      <sz val="14"/>
      <color indexed="12"/>
      <name val="微軟正黑體"/>
      <family val="2"/>
    </font>
    <font>
      <sz val="11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b/>
      <sz val="16"/>
      <color indexed="12"/>
      <name val="微軟正黑體"/>
      <family val="2"/>
    </font>
    <font>
      <sz val="9"/>
      <color indexed="8"/>
      <name val="微軟正黑體"/>
      <family val="2"/>
    </font>
    <font>
      <b/>
      <sz val="7"/>
      <name val="微軟正黑體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7"/>
      <name val="新細明體"/>
      <family val="1"/>
    </font>
    <font>
      <sz val="12"/>
      <color indexed="8"/>
      <name val="Microsoft YaHe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2"/>
      <name val="細明體"/>
      <family val="3"/>
    </font>
    <font>
      <sz val="12"/>
      <name val="Tahoma"/>
      <family val="2"/>
    </font>
    <font>
      <b/>
      <sz val="12"/>
      <name val="細明體"/>
      <family val="3"/>
    </font>
    <font>
      <b/>
      <sz val="12"/>
      <name val="Tahoma"/>
      <family val="2"/>
    </font>
    <font>
      <sz val="12"/>
      <color indexed="9"/>
      <name val="新細明體"/>
      <family val="1"/>
    </font>
    <font>
      <sz val="12"/>
      <color indexed="8"/>
      <name val="Calibri"/>
      <family val="2"/>
    </font>
    <font>
      <u val="single"/>
      <sz val="12"/>
      <color indexed="1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54"/>
      <name val="新細明體"/>
      <family val="1"/>
    </font>
    <font>
      <i/>
      <sz val="12"/>
      <color indexed="23"/>
      <name val="新細明體"/>
      <family val="1"/>
    </font>
    <font>
      <b/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微軟正黑體"/>
      <family val="2"/>
    </font>
    <font>
      <sz val="11"/>
      <color indexed="12"/>
      <name val="微軟正黑體"/>
      <family val="2"/>
    </font>
    <font>
      <b/>
      <sz val="12"/>
      <color indexed="10"/>
      <name val="微軟正黑體"/>
      <family val="2"/>
    </font>
    <font>
      <b/>
      <sz val="12"/>
      <color indexed="8"/>
      <name val="微軟正黑體"/>
      <family val="2"/>
    </font>
    <font>
      <sz val="10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Calibri"/>
      <family val="2"/>
    </font>
    <font>
      <sz val="11"/>
      <color theme="1"/>
      <name val="Calibri"/>
      <family val="1"/>
    </font>
    <font>
      <sz val="11"/>
      <color rgb="FF000000"/>
      <name val="新細明體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  <font>
      <sz val="12"/>
      <color rgb="FFFF0000"/>
      <name val="微軟正黑體"/>
      <family val="2"/>
    </font>
    <font>
      <sz val="12"/>
      <color theme="0"/>
      <name val="微軟正黑體"/>
      <family val="2"/>
    </font>
    <font>
      <b/>
      <sz val="12"/>
      <color rgb="FF0000FF"/>
      <name val="微軟正黑體"/>
      <family val="2"/>
    </font>
    <font>
      <sz val="11"/>
      <color rgb="FF0000FF"/>
      <name val="微軟正黑體"/>
      <family val="2"/>
    </font>
    <font>
      <sz val="11"/>
      <color theme="1"/>
      <name val="微軟正黑體"/>
      <family val="2"/>
    </font>
    <font>
      <sz val="10"/>
      <color theme="1"/>
      <name val="微軟正黑體"/>
      <family val="2"/>
    </font>
    <font>
      <b/>
      <sz val="12"/>
      <color rgb="FFFF0000"/>
      <name val="微軟正黑體"/>
      <family val="2"/>
    </font>
    <font>
      <b/>
      <sz val="12"/>
      <color theme="1"/>
      <name val="微軟正黑體"/>
      <family val="2"/>
    </font>
    <font>
      <sz val="10"/>
      <color rgb="FFFF0000"/>
      <name val="微軟正黑體"/>
      <family val="2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/>
      <top style="thin">
        <color indexed="59"/>
      </top>
      <bottom style="medium"/>
    </border>
    <border>
      <left style="thin">
        <color indexed="59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>
        <color indexed="59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/>
      <right/>
      <top style="medium"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thin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/>
      <right style="thin"/>
      <top style="thin">
        <color indexed="59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medium"/>
    </border>
    <border>
      <left/>
      <right style="thin"/>
      <top style="medium"/>
      <bottom style="thin">
        <color indexed="59"/>
      </bottom>
    </border>
    <border>
      <left/>
      <right style="thin"/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59"/>
      </right>
      <top style="medium"/>
      <bottom/>
    </border>
    <border>
      <left style="thin">
        <color indexed="59"/>
      </left>
      <right>
        <color indexed="63"/>
      </right>
      <top style="medium"/>
      <bottom/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medium"/>
      <bottom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>
        <color indexed="63"/>
      </left>
      <right style="thin">
        <color indexed="59"/>
      </right>
      <top style="medium"/>
      <bottom/>
    </border>
    <border>
      <left style="thin">
        <color indexed="59"/>
      </left>
      <right style="medium"/>
      <top style="medium"/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>
        <color indexed="59"/>
      </top>
      <bottom style="thin">
        <color indexed="59"/>
      </bottom>
    </border>
    <border>
      <left/>
      <right style="medium"/>
      <top style="thin">
        <color indexed="59"/>
      </top>
      <bottom style="medium"/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 style="medium"/>
      <top style="medium"/>
      <bottom style="thin">
        <color indexed="59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59"/>
      </right>
      <top style="medium"/>
      <bottom/>
    </border>
    <border>
      <left style="thin"/>
      <right style="thin">
        <color indexed="59"/>
      </right>
      <top>
        <color indexed="63"/>
      </top>
      <bottom>
        <color indexed="63"/>
      </bottom>
    </border>
    <border>
      <left style="thin"/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>
        <color indexed="63"/>
      </top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 style="medium"/>
    </border>
    <border>
      <left>
        <color indexed="63"/>
      </left>
      <right style="thin"/>
      <top style="medium"/>
      <bottom/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</borders>
  <cellStyleXfs count="1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1" fillId="0" borderId="0">
      <alignment vertical="center"/>
      <protection/>
    </xf>
    <xf numFmtId="0" fontId="63" fillId="0" borderId="0">
      <alignment/>
      <protection/>
    </xf>
    <xf numFmtId="0" fontId="64" fillId="0" borderId="0">
      <alignment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65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4" fillId="0" borderId="0">
      <alignment/>
      <protection/>
    </xf>
    <xf numFmtId="43" fontId="1" fillId="0" borderId="0" applyFill="0" applyBorder="0" applyAlignment="0" applyProtection="0"/>
    <xf numFmtId="43" fontId="2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0" borderId="1" applyNumberFormat="0" applyFill="0" applyAlignment="0" applyProtection="0"/>
    <xf numFmtId="0" fontId="69" fillId="21" borderId="0" applyNumberFormat="0" applyBorder="0" applyAlignment="0" applyProtection="0"/>
    <xf numFmtId="9" fontId="1" fillId="0" borderId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7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0" borderId="3" applyNumberFormat="0" applyFill="0" applyAlignment="0" applyProtection="0"/>
    <xf numFmtId="0" fontId="0" fillId="23" borderId="4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2" applyNumberFormat="0" applyAlignment="0" applyProtection="0"/>
    <xf numFmtId="0" fontId="79" fillId="22" borderId="8" applyNumberFormat="0" applyAlignment="0" applyProtection="0"/>
    <xf numFmtId="0" fontId="80" fillId="31" borderId="9" applyNumberFormat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52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6" borderId="14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3" fillId="0" borderId="19" xfId="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center" vertical="center"/>
    </xf>
    <xf numFmtId="0" fontId="83" fillId="0" borderId="20" xfId="0" applyFont="1" applyFill="1" applyBorder="1" applyAlignment="1">
      <alignment horizontal="center" vertical="center"/>
    </xf>
    <xf numFmtId="0" fontId="7" fillId="34" borderId="19" xfId="88" applyFont="1" applyFill="1" applyBorder="1" applyAlignment="1">
      <alignment horizontal="center" vertical="center"/>
      <protection/>
    </xf>
    <xf numFmtId="0" fontId="7" fillId="0" borderId="19" xfId="88" applyFont="1" applyFill="1" applyBorder="1" applyAlignment="1">
      <alignment horizontal="center" vertical="center"/>
      <protection/>
    </xf>
    <xf numFmtId="0" fontId="83" fillId="0" borderId="19" xfId="0" applyFont="1" applyFill="1" applyBorder="1" applyAlignment="1">
      <alignment horizontal="center" vertical="center" wrapText="1"/>
    </xf>
    <xf numFmtId="176" fontId="12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7" fontId="12" fillId="0" borderId="21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8" fontId="12" fillId="0" borderId="21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>
      <alignment vertical="center"/>
    </xf>
    <xf numFmtId="179" fontId="8" fillId="0" borderId="21" xfId="0" applyNumberFormat="1" applyFont="1" applyFill="1" applyBorder="1" applyAlignment="1">
      <alignment vertical="center"/>
    </xf>
    <xf numFmtId="180" fontId="12" fillId="0" borderId="23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/>
    </xf>
    <xf numFmtId="0" fontId="7" fillId="0" borderId="21" xfId="88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/>
    </xf>
    <xf numFmtId="0" fontId="85" fillId="0" borderId="1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85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19" xfId="8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5" fillId="0" borderId="21" xfId="88" applyFont="1" applyFill="1" applyBorder="1" applyAlignment="1">
      <alignment horizontal="center" vertical="center"/>
      <protection/>
    </xf>
    <xf numFmtId="0" fontId="7" fillId="34" borderId="19" xfId="85" applyFont="1" applyFill="1" applyBorder="1" applyAlignment="1">
      <alignment horizontal="center" vertical="center"/>
      <protection/>
    </xf>
    <xf numFmtId="0" fontId="7" fillId="34" borderId="21" xfId="0" applyFont="1" applyFill="1" applyBorder="1" applyAlignment="1">
      <alignment horizontal="center" vertical="center"/>
    </xf>
    <xf numFmtId="0" fontId="7" fillId="34" borderId="19" xfId="89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90" applyFont="1" applyFill="1" applyBorder="1" applyAlignment="1">
      <alignment horizontal="center" vertical="center" wrapText="1"/>
      <protection/>
    </xf>
    <xf numFmtId="0" fontId="15" fillId="0" borderId="0" xfId="90" applyFont="1" applyFill="1" applyBorder="1" applyAlignment="1">
      <alignment horizontal="center" vertical="center" wrapText="1"/>
      <protection/>
    </xf>
    <xf numFmtId="0" fontId="13" fillId="7" borderId="21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83" fillId="34" borderId="19" xfId="0" applyFont="1" applyFill="1" applyBorder="1" applyAlignment="1">
      <alignment horizontal="center" vertical="center"/>
    </xf>
    <xf numFmtId="0" fontId="86" fillId="34" borderId="19" xfId="0" applyFont="1" applyFill="1" applyBorder="1" applyAlignment="1">
      <alignment horizontal="center" vertical="center"/>
    </xf>
    <xf numFmtId="0" fontId="86" fillId="34" borderId="21" xfId="0" applyFont="1" applyFill="1" applyBorder="1" applyAlignment="1">
      <alignment horizontal="center" vertical="center"/>
    </xf>
    <xf numFmtId="0" fontId="86" fillId="34" borderId="2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86" fillId="34" borderId="19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/>
    </xf>
    <xf numFmtId="0" fontId="7" fillId="0" borderId="19" xfId="89" applyFont="1" applyFill="1" applyBorder="1" applyAlignment="1">
      <alignment horizontal="center" vertical="center"/>
      <protection/>
    </xf>
    <xf numFmtId="0" fontId="20" fillId="6" borderId="26" xfId="56" applyFont="1" applyFill="1" applyBorder="1" applyAlignment="1">
      <alignment horizontal="center" vertical="center"/>
      <protection/>
    </xf>
    <xf numFmtId="186" fontId="8" fillId="0" borderId="0" xfId="0" applyNumberFormat="1" applyFont="1" applyFill="1" applyBorder="1" applyAlignment="1">
      <alignment horizontal="center" vertical="center"/>
    </xf>
    <xf numFmtId="0" fontId="20" fillId="6" borderId="27" xfId="56" applyFont="1" applyFill="1" applyBorder="1" applyAlignment="1">
      <alignment horizontal="center" vertical="center"/>
      <protection/>
    </xf>
    <xf numFmtId="0" fontId="87" fillId="6" borderId="28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7" fillId="6" borderId="29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21" fillId="6" borderId="27" xfId="56" applyFont="1" applyFill="1" applyBorder="1" applyAlignment="1">
      <alignment horizontal="center" vertical="center"/>
      <protection/>
    </xf>
    <xf numFmtId="0" fontId="22" fillId="6" borderId="27" xfId="56" applyFont="1" applyFill="1" applyBorder="1" applyAlignment="1">
      <alignment horizontal="center" vertical="center"/>
      <protection/>
    </xf>
    <xf numFmtId="0" fontId="88" fillId="6" borderId="29" xfId="56" applyFont="1" applyFill="1" applyBorder="1" applyAlignment="1">
      <alignment horizontal="center" vertical="center"/>
      <protection/>
    </xf>
    <xf numFmtId="0" fontId="21" fillId="6" borderId="32" xfId="56" applyFont="1" applyFill="1" applyBorder="1" applyAlignment="1">
      <alignment horizontal="center" vertical="center"/>
      <protection/>
    </xf>
    <xf numFmtId="0" fontId="87" fillId="6" borderId="33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87" fillId="6" borderId="35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87" fillId="0" borderId="3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0" fillId="34" borderId="2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 vertical="center"/>
    </xf>
    <xf numFmtId="0" fontId="23" fillId="0" borderId="40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176" fontId="12" fillId="0" borderId="41" xfId="0" applyNumberFormat="1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177" fontId="12" fillId="0" borderId="41" xfId="0" applyNumberFormat="1" applyFont="1" applyFill="1" applyBorder="1" applyAlignment="1">
      <alignment vertical="center"/>
    </xf>
    <xf numFmtId="177" fontId="8" fillId="0" borderId="42" xfId="0" applyNumberFormat="1" applyFont="1" applyFill="1" applyBorder="1" applyAlignment="1">
      <alignment vertical="center"/>
    </xf>
    <xf numFmtId="178" fontId="12" fillId="0" borderId="41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179" fontId="12" fillId="0" borderId="41" xfId="0" applyNumberFormat="1" applyFont="1" applyFill="1" applyBorder="1" applyAlignment="1">
      <alignment vertical="center"/>
    </xf>
    <xf numFmtId="179" fontId="8" fillId="0" borderId="41" xfId="0" applyNumberFormat="1" applyFont="1" applyFill="1" applyBorder="1" applyAlignment="1">
      <alignment vertical="center"/>
    </xf>
    <xf numFmtId="180" fontId="12" fillId="0" borderId="43" xfId="0" applyNumberFormat="1" applyFont="1" applyFill="1" applyBorder="1" applyAlignment="1">
      <alignment vertical="center"/>
    </xf>
    <xf numFmtId="180" fontId="8" fillId="0" borderId="2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vertical="center"/>
    </xf>
    <xf numFmtId="0" fontId="7" fillId="34" borderId="21" xfId="93" applyFont="1" applyFill="1" applyBorder="1" applyAlignment="1">
      <alignment horizontal="center" vertical="center"/>
      <protection/>
    </xf>
    <xf numFmtId="0" fontId="7" fillId="34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84" fillId="34" borderId="21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85" fillId="34" borderId="21" xfId="0" applyFont="1" applyFill="1" applyBorder="1" applyAlignment="1">
      <alignment horizontal="center" vertical="center"/>
    </xf>
    <xf numFmtId="0" fontId="85" fillId="34" borderId="2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/>
    </xf>
    <xf numFmtId="0" fontId="7" fillId="34" borderId="21" xfId="95" applyFont="1" applyFill="1" applyBorder="1" applyAlignment="1">
      <alignment horizontal="center" vertical="center"/>
      <protection/>
    </xf>
    <xf numFmtId="0" fontId="13" fillId="0" borderId="48" xfId="0" applyFont="1" applyFill="1" applyBorder="1" applyAlignment="1">
      <alignment horizontal="center" vertical="center"/>
    </xf>
    <xf numFmtId="0" fontId="85" fillId="34" borderId="38" xfId="0" applyFont="1" applyFill="1" applyBorder="1" applyAlignment="1">
      <alignment horizontal="center" vertical="center"/>
    </xf>
    <xf numFmtId="0" fontId="85" fillId="34" borderId="39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/>
    </xf>
    <xf numFmtId="0" fontId="10" fillId="0" borderId="19" xfId="88" applyFont="1" applyFill="1" applyBorder="1" applyAlignment="1">
      <alignment horizontal="center" vertical="center"/>
      <protection/>
    </xf>
    <xf numFmtId="0" fontId="7" fillId="0" borderId="21" xfId="95" applyFont="1" applyFill="1" applyBorder="1" applyAlignment="1">
      <alignment horizontal="center" vertical="center"/>
      <protection/>
    </xf>
    <xf numFmtId="0" fontId="7" fillId="0" borderId="43" xfId="95" applyFont="1" applyFill="1" applyBorder="1" applyAlignment="1">
      <alignment horizontal="center" vertical="center"/>
      <protection/>
    </xf>
    <xf numFmtId="0" fontId="10" fillId="0" borderId="4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20" fillId="6" borderId="50" xfId="56" applyFont="1" applyFill="1" applyBorder="1" applyAlignment="1">
      <alignment horizontal="center" vertical="center"/>
      <protection/>
    </xf>
    <xf numFmtId="0" fontId="20" fillId="6" borderId="51" xfId="56" applyFont="1" applyFill="1" applyBorder="1" applyAlignment="1">
      <alignment horizontal="center" vertical="center"/>
      <protection/>
    </xf>
    <xf numFmtId="0" fontId="21" fillId="6" borderId="51" xfId="56" applyFont="1" applyFill="1" applyBorder="1" applyAlignment="1">
      <alignment horizontal="center" vertical="center"/>
      <protection/>
    </xf>
    <xf numFmtId="0" fontId="22" fillId="6" borderId="51" xfId="56" applyFont="1" applyFill="1" applyBorder="1" applyAlignment="1">
      <alignment horizontal="center" vertical="center"/>
      <protection/>
    </xf>
    <xf numFmtId="0" fontId="21" fillId="6" borderId="52" xfId="56" applyFont="1" applyFill="1" applyBorder="1" applyAlignment="1">
      <alignment horizontal="center" vertical="center"/>
      <protection/>
    </xf>
    <xf numFmtId="0" fontId="7" fillId="0" borderId="19" xfId="93" applyFont="1" applyFill="1" applyBorder="1" applyAlignment="1">
      <alignment horizontal="center" vertical="center"/>
      <protection/>
    </xf>
    <xf numFmtId="0" fontId="7" fillId="0" borderId="38" xfId="95" applyFont="1" applyFill="1" applyBorder="1" applyAlignment="1">
      <alignment horizontal="center" vertical="center"/>
      <protection/>
    </xf>
    <xf numFmtId="0" fontId="15" fillId="0" borderId="19" xfId="0" applyFont="1" applyFill="1" applyBorder="1" applyAlignment="1">
      <alignment horizontal="center" vertical="center"/>
    </xf>
    <xf numFmtId="180" fontId="12" fillId="0" borderId="21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83" fillId="34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180" fontId="8" fillId="0" borderId="20" xfId="0" applyNumberFormat="1" applyFont="1" applyFill="1" applyBorder="1" applyAlignment="1">
      <alignment vertical="center"/>
    </xf>
    <xf numFmtId="0" fontId="8" fillId="0" borderId="5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vertical="center" wrapText="1"/>
    </xf>
    <xf numFmtId="0" fontId="7" fillId="6" borderId="58" xfId="0" applyFont="1" applyFill="1" applyBorder="1" applyAlignment="1">
      <alignment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25" fillId="34" borderId="54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/>
    </xf>
    <xf numFmtId="0" fontId="20" fillId="0" borderId="21" xfId="88" applyFont="1" applyFill="1" applyBorder="1" applyAlignment="1">
      <alignment horizontal="center" vertical="center"/>
      <protection/>
    </xf>
    <xf numFmtId="0" fontId="24" fillId="0" borderId="38" xfId="0" applyFont="1" applyFill="1" applyBorder="1" applyAlignment="1">
      <alignment horizontal="center" vertical="center"/>
    </xf>
    <xf numFmtId="0" fontId="7" fillId="34" borderId="19" xfId="93" applyFont="1" applyFill="1" applyBorder="1" applyAlignment="1">
      <alignment horizontal="center" vertical="center" wrapText="1"/>
      <protection/>
    </xf>
    <xf numFmtId="0" fontId="7" fillId="34" borderId="19" xfId="93" applyFont="1" applyFill="1" applyBorder="1" applyAlignment="1">
      <alignment horizontal="center" vertical="center"/>
      <protection/>
    </xf>
    <xf numFmtId="0" fontId="15" fillId="0" borderId="19" xfId="85" applyFont="1" applyFill="1" applyBorder="1" applyAlignment="1">
      <alignment horizontal="center" vertical="center"/>
      <protection/>
    </xf>
    <xf numFmtId="0" fontId="7" fillId="0" borderId="57" xfId="89" applyFont="1" applyFill="1" applyBorder="1" applyAlignment="1">
      <alignment horizontal="center" vertical="center"/>
      <protection/>
    </xf>
    <xf numFmtId="0" fontId="7" fillId="0" borderId="44" xfId="89" applyFont="1" applyFill="1" applyBorder="1" applyAlignment="1">
      <alignment horizontal="center" vertical="center"/>
      <protection/>
    </xf>
    <xf numFmtId="0" fontId="7" fillId="0" borderId="4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12" fillId="6" borderId="62" xfId="0" applyFont="1" applyFill="1" applyBorder="1" applyAlignment="1">
      <alignment horizontal="center" vertical="center"/>
    </xf>
    <xf numFmtId="0" fontId="12" fillId="6" borderId="63" xfId="0" applyFont="1" applyFill="1" applyBorder="1" applyAlignment="1">
      <alignment horizontal="center" vertical="center"/>
    </xf>
    <xf numFmtId="0" fontId="15" fillId="0" borderId="19" xfId="93" applyFont="1" applyFill="1" applyBorder="1" applyAlignment="1">
      <alignment horizontal="center" vertical="center"/>
      <protection/>
    </xf>
    <xf numFmtId="0" fontId="7" fillId="0" borderId="6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180" fontId="8" fillId="0" borderId="43" xfId="0" applyNumberFormat="1" applyFont="1" applyFill="1" applyBorder="1" applyAlignment="1">
      <alignment vertical="center"/>
    </xf>
    <xf numFmtId="0" fontId="8" fillId="0" borderId="65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176" fontId="12" fillId="0" borderId="66" xfId="0" applyNumberFormat="1" applyFont="1" applyFill="1" applyBorder="1" applyAlignment="1">
      <alignment vertical="center"/>
    </xf>
    <xf numFmtId="176" fontId="8" fillId="0" borderId="67" xfId="0" applyNumberFormat="1" applyFont="1" applyFill="1" applyBorder="1" applyAlignment="1">
      <alignment vertical="center"/>
    </xf>
    <xf numFmtId="177" fontId="12" fillId="0" borderId="66" xfId="0" applyNumberFormat="1" applyFont="1" applyFill="1" applyBorder="1" applyAlignment="1">
      <alignment vertical="center"/>
    </xf>
    <xf numFmtId="177" fontId="8" fillId="0" borderId="66" xfId="0" applyNumberFormat="1" applyFont="1" applyFill="1" applyBorder="1" applyAlignment="1">
      <alignment vertical="center"/>
    </xf>
    <xf numFmtId="178" fontId="12" fillId="0" borderId="66" xfId="0" applyNumberFormat="1" applyFont="1" applyFill="1" applyBorder="1" applyAlignment="1">
      <alignment vertical="center"/>
    </xf>
    <xf numFmtId="178" fontId="8" fillId="0" borderId="66" xfId="0" applyNumberFormat="1" applyFont="1" applyFill="1" applyBorder="1" applyAlignment="1">
      <alignment vertical="center"/>
    </xf>
    <xf numFmtId="179" fontId="12" fillId="0" borderId="66" xfId="0" applyNumberFormat="1" applyFont="1" applyFill="1" applyBorder="1" applyAlignment="1">
      <alignment vertical="center"/>
    </xf>
    <xf numFmtId="179" fontId="8" fillId="0" borderId="66" xfId="0" applyNumberFormat="1" applyFont="1" applyFill="1" applyBorder="1" applyAlignment="1">
      <alignment vertical="center"/>
    </xf>
    <xf numFmtId="0" fontId="7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20" fillId="34" borderId="21" xfId="88" applyFont="1" applyFill="1" applyBorder="1" applyAlignment="1">
      <alignment horizontal="center" vertical="center"/>
      <protection/>
    </xf>
    <xf numFmtId="0" fontId="7" fillId="34" borderId="21" xfId="88" applyFont="1" applyFill="1" applyBorder="1" applyAlignment="1">
      <alignment horizontal="center" vertical="center"/>
      <protection/>
    </xf>
    <xf numFmtId="0" fontId="7" fillId="34" borderId="21" xfId="85" applyFont="1" applyFill="1" applyBorder="1" applyAlignment="1">
      <alignment horizontal="center" vertical="center"/>
      <protection/>
    </xf>
    <xf numFmtId="0" fontId="13" fillId="0" borderId="55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10" fillId="34" borderId="69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55" xfId="95" applyFont="1" applyFill="1" applyBorder="1" applyAlignment="1">
      <alignment horizontal="center" vertical="center"/>
      <protection/>
    </xf>
    <xf numFmtId="0" fontId="10" fillId="0" borderId="7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4" fillId="0" borderId="0" xfId="88" applyFont="1" applyFill="1" applyBorder="1" applyAlignment="1">
      <alignment vertical="center"/>
      <protection/>
    </xf>
    <xf numFmtId="0" fontId="87" fillId="6" borderId="0" xfId="0" applyFont="1" applyFill="1" applyBorder="1" applyAlignment="1">
      <alignment horizontal="center" vertical="center"/>
    </xf>
    <xf numFmtId="0" fontId="87" fillId="6" borderId="34" xfId="0" applyFont="1" applyFill="1" applyBorder="1" applyAlignment="1">
      <alignment horizontal="center" vertical="center"/>
    </xf>
    <xf numFmtId="0" fontId="83" fillId="34" borderId="19" xfId="88" applyFont="1" applyFill="1" applyBorder="1" applyAlignment="1">
      <alignment horizontal="center" vertical="center"/>
      <protection/>
    </xf>
    <xf numFmtId="0" fontId="83" fillId="0" borderId="19" xfId="88" applyFont="1" applyFill="1" applyBorder="1" applyAlignment="1">
      <alignment horizontal="center" vertical="center"/>
      <protection/>
    </xf>
    <xf numFmtId="0" fontId="83" fillId="0" borderId="25" xfId="0" applyFont="1" applyFill="1" applyBorder="1" applyAlignment="1">
      <alignment horizontal="center" vertical="center"/>
    </xf>
    <xf numFmtId="0" fontId="83" fillId="34" borderId="21" xfId="0" applyFont="1" applyFill="1" applyBorder="1" applyAlignment="1">
      <alignment horizontal="center" vertical="center"/>
    </xf>
    <xf numFmtId="0" fontId="83" fillId="34" borderId="20" xfId="0" applyFont="1" applyFill="1" applyBorder="1" applyAlignment="1">
      <alignment horizontal="center" vertical="center"/>
    </xf>
    <xf numFmtId="0" fontId="89" fillId="6" borderId="26" xfId="56" applyFont="1" applyFill="1" applyBorder="1" applyAlignment="1">
      <alignment horizontal="center" vertical="center"/>
      <protection/>
    </xf>
    <xf numFmtId="0" fontId="89" fillId="6" borderId="27" xfId="56" applyFont="1" applyFill="1" applyBorder="1" applyAlignment="1">
      <alignment horizontal="center" vertical="center"/>
      <protection/>
    </xf>
    <xf numFmtId="0" fontId="90" fillId="6" borderId="27" xfId="56" applyFont="1" applyFill="1" applyBorder="1" applyAlignment="1">
      <alignment horizontal="center" vertical="center"/>
      <protection/>
    </xf>
    <xf numFmtId="0" fontId="89" fillId="6" borderId="32" xfId="56" applyFont="1" applyFill="1" applyBorder="1" applyAlignment="1">
      <alignment horizontal="center" vertical="center"/>
      <protection/>
    </xf>
    <xf numFmtId="0" fontId="7" fillId="0" borderId="25" xfId="85" applyFont="1" applyFill="1" applyBorder="1" applyAlignment="1">
      <alignment horizontal="center" vertical="center"/>
      <protection/>
    </xf>
    <xf numFmtId="0" fontId="7" fillId="0" borderId="20" xfId="85" applyFont="1" applyFill="1" applyBorder="1" applyAlignment="1">
      <alignment horizontal="center" vertical="center"/>
      <protection/>
    </xf>
    <xf numFmtId="0" fontId="7" fillId="34" borderId="45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88" fillId="6" borderId="0" xfId="56" applyFont="1" applyFill="1" applyBorder="1" applyAlignment="1">
      <alignment horizontal="center" vertical="center"/>
      <protection/>
    </xf>
    <xf numFmtId="0" fontId="28" fillId="35" borderId="12" xfId="46" applyFont="1" applyFill="1" applyBorder="1" applyAlignment="1">
      <alignment horizontal="center" vertical="center" shrinkToFit="1"/>
      <protection/>
    </xf>
    <xf numFmtId="0" fontId="28" fillId="35" borderId="12" xfId="46" applyFont="1" applyFill="1" applyBorder="1" applyAlignment="1">
      <alignment horizontal="center" vertical="center" shrinkToFit="1"/>
      <protection/>
    </xf>
    <xf numFmtId="0" fontId="85" fillId="0" borderId="19" xfId="88" applyFont="1" applyFill="1" applyBorder="1" applyAlignment="1">
      <alignment horizontal="center" vertical="center"/>
      <protection/>
    </xf>
    <xf numFmtId="0" fontId="85" fillId="0" borderId="29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31" xfId="0" applyFont="1" applyFill="1" applyBorder="1" applyAlignment="1">
      <alignment horizontal="center" vertical="center"/>
    </xf>
    <xf numFmtId="0" fontId="85" fillId="34" borderId="72" xfId="85" applyFont="1" applyFill="1" applyBorder="1" applyAlignment="1">
      <alignment horizontal="center" vertical="center"/>
      <protection/>
    </xf>
    <xf numFmtId="0" fontId="7" fillId="34" borderId="46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85" fillId="0" borderId="21" xfId="85" applyFont="1" applyFill="1" applyBorder="1" applyAlignment="1">
      <alignment horizontal="center" vertical="center"/>
      <protection/>
    </xf>
    <xf numFmtId="0" fontId="83" fillId="34" borderId="72" xfId="85" applyFont="1" applyFill="1" applyBorder="1" applyAlignment="1">
      <alignment horizontal="center" vertical="center"/>
      <protection/>
    </xf>
    <xf numFmtId="0" fontId="7" fillId="34" borderId="4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13" fillId="7" borderId="48" xfId="0" applyFont="1" applyFill="1" applyBorder="1" applyAlignment="1">
      <alignment vertical="center"/>
    </xf>
    <xf numFmtId="0" fontId="85" fillId="34" borderId="21" xfId="93" applyFont="1" applyFill="1" applyBorder="1" applyAlignment="1">
      <alignment horizontal="center" vertical="center"/>
      <protection/>
    </xf>
    <xf numFmtId="0" fontId="85" fillId="0" borderId="21" xfId="0" applyFont="1" applyFill="1" applyBorder="1" applyAlignment="1">
      <alignment horizontal="center" vertical="center"/>
    </xf>
    <xf numFmtId="0" fontId="85" fillId="34" borderId="23" xfId="0" applyFont="1" applyFill="1" applyBorder="1" applyAlignment="1">
      <alignment horizontal="center" vertical="center"/>
    </xf>
    <xf numFmtId="0" fontId="85" fillId="34" borderId="23" xfId="0" applyFont="1" applyFill="1" applyBorder="1" applyAlignment="1">
      <alignment horizontal="center" vertical="center" wrapText="1"/>
    </xf>
    <xf numFmtId="0" fontId="85" fillId="34" borderId="21" xfId="0" applyFont="1" applyFill="1" applyBorder="1" applyAlignment="1">
      <alignment horizontal="center" vertical="center" wrapText="1"/>
    </xf>
    <xf numFmtId="0" fontId="91" fillId="34" borderId="21" xfId="0" applyFont="1" applyFill="1" applyBorder="1" applyAlignment="1">
      <alignment horizontal="center" vertical="center"/>
    </xf>
    <xf numFmtId="0" fontId="85" fillId="0" borderId="43" xfId="85" applyFont="1" applyFill="1" applyBorder="1" applyAlignment="1">
      <alignment horizontal="center" vertical="center"/>
      <protection/>
    </xf>
    <xf numFmtId="0" fontId="85" fillId="0" borderId="20" xfId="85" applyFont="1" applyFill="1" applyBorder="1" applyAlignment="1">
      <alignment horizontal="center" vertical="center"/>
      <protection/>
    </xf>
    <xf numFmtId="0" fontId="7" fillId="12" borderId="19" xfId="0" applyFont="1" applyFill="1" applyBorder="1" applyAlignment="1">
      <alignment horizontal="center" vertical="center"/>
    </xf>
    <xf numFmtId="0" fontId="84" fillId="12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0" fontId="12" fillId="0" borderId="73" xfId="0" applyNumberFormat="1" applyFont="1" applyFill="1" applyBorder="1" applyAlignment="1">
      <alignment vertical="center"/>
    </xf>
    <xf numFmtId="180" fontId="8" fillId="0" borderId="73" xfId="0" applyNumberFormat="1" applyFont="1" applyFill="1" applyBorder="1" applyAlignment="1">
      <alignment vertical="center"/>
    </xf>
    <xf numFmtId="0" fontId="7" fillId="34" borderId="6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1" xfId="88" applyFont="1" applyBorder="1" applyAlignment="1">
      <alignment horizontal="center" vertical="center"/>
      <protection/>
    </xf>
    <xf numFmtId="0" fontId="10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9" xfId="88" applyFont="1" applyBorder="1" applyAlignment="1">
      <alignment horizontal="center" vertical="center"/>
      <protection/>
    </xf>
    <xf numFmtId="0" fontId="7" fillId="0" borderId="21" xfId="85" applyFont="1" applyBorder="1" applyAlignment="1">
      <alignment horizontal="center" vertical="center"/>
      <protection/>
    </xf>
    <xf numFmtId="0" fontId="7" fillId="34" borderId="38" xfId="0" applyFont="1" applyFill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84" fillId="0" borderId="21" xfId="0" applyFont="1" applyBorder="1" applyAlignment="1">
      <alignment horizontal="center" vertical="center"/>
    </xf>
    <xf numFmtId="0" fontId="13" fillId="7" borderId="43" xfId="0" applyFont="1" applyFill="1" applyBorder="1" applyAlignment="1">
      <alignment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7" borderId="75" xfId="0" applyFont="1" applyFill="1" applyBorder="1" applyAlignment="1">
      <alignment vertical="center"/>
    </xf>
    <xf numFmtId="0" fontId="13" fillId="0" borderId="75" xfId="0" applyNumberFormat="1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7" fillId="9" borderId="21" xfId="93" applyFont="1" applyFill="1" applyBorder="1" applyAlignment="1">
      <alignment horizontal="center" vertical="center"/>
      <protection/>
    </xf>
    <xf numFmtId="0" fontId="10" fillId="9" borderId="21" xfId="0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center" vertical="center"/>
    </xf>
    <xf numFmtId="0" fontId="10" fillId="9" borderId="40" xfId="0" applyFont="1" applyFill="1" applyBorder="1" applyAlignment="1">
      <alignment horizontal="center" vertical="center"/>
    </xf>
    <xf numFmtId="0" fontId="28" fillId="35" borderId="10" xfId="46" applyFont="1" applyFill="1" applyBorder="1" applyAlignment="1">
      <alignment horizontal="center" vertical="center" shrinkToFit="1"/>
      <protection/>
    </xf>
    <xf numFmtId="181" fontId="28" fillId="35" borderId="10" xfId="46" applyNumberFormat="1" applyFont="1" applyFill="1" applyBorder="1" applyAlignment="1">
      <alignment horizontal="center" vertical="center" shrinkToFit="1"/>
      <protection/>
    </xf>
    <xf numFmtId="181" fontId="28" fillId="35" borderId="12" xfId="46" applyNumberFormat="1" applyFont="1" applyFill="1" applyBorder="1" applyAlignment="1">
      <alignment horizontal="center" vertical="center" shrinkToFit="1"/>
      <protection/>
    </xf>
    <xf numFmtId="0" fontId="7" fillId="9" borderId="21" xfId="0" applyFont="1" applyFill="1" applyBorder="1" applyAlignment="1">
      <alignment horizontal="center" vertical="center"/>
    </xf>
    <xf numFmtId="0" fontId="13" fillId="9" borderId="61" xfId="0" applyFont="1" applyFill="1" applyBorder="1" applyAlignment="1">
      <alignment horizontal="center" vertical="center"/>
    </xf>
    <xf numFmtId="0" fontId="7" fillId="7" borderId="77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7" fillId="0" borderId="55" xfId="95" applyFont="1" applyFill="1" applyBorder="1" applyAlignment="1">
      <alignment horizontal="center" vertical="center"/>
      <protection/>
    </xf>
    <xf numFmtId="0" fontId="10" fillId="0" borderId="5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84" fillId="0" borderId="69" xfId="0" applyFont="1" applyFill="1" applyBorder="1" applyAlignment="1">
      <alignment horizontal="center" vertical="center"/>
    </xf>
    <xf numFmtId="0" fontId="10" fillId="34" borderId="78" xfId="0" applyFont="1" applyFill="1" applyBorder="1" applyAlignment="1">
      <alignment horizontal="center" vertical="center"/>
    </xf>
    <xf numFmtId="180" fontId="12" fillId="0" borderId="79" xfId="0" applyNumberFormat="1" applyFont="1" applyFill="1" applyBorder="1" applyAlignment="1">
      <alignment vertical="center"/>
    </xf>
    <xf numFmtId="0" fontId="13" fillId="0" borderId="8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vertical="center"/>
    </xf>
    <xf numFmtId="183" fontId="8" fillId="0" borderId="12" xfId="0" applyNumberFormat="1" applyFont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6" borderId="84" xfId="0" applyFont="1" applyFill="1" applyBorder="1" applyAlignment="1">
      <alignment horizontal="center" vertical="center" wrapText="1"/>
    </xf>
    <xf numFmtId="0" fontId="7" fillId="6" borderId="85" xfId="0" applyFont="1" applyFill="1" applyBorder="1" applyAlignment="1">
      <alignment horizontal="center" vertical="center" wrapText="1"/>
    </xf>
    <xf numFmtId="0" fontId="7" fillId="6" borderId="86" xfId="0" applyFont="1" applyFill="1" applyBorder="1" applyAlignment="1">
      <alignment horizontal="center" vertical="center" wrapText="1"/>
    </xf>
    <xf numFmtId="0" fontId="8" fillId="6" borderId="50" xfId="0" applyFont="1" applyFill="1" applyBorder="1" applyAlignment="1">
      <alignment horizontal="center" vertical="center"/>
    </xf>
    <xf numFmtId="0" fontId="8" fillId="6" borderId="87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0" fontId="8" fillId="6" borderId="88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7" fillId="7" borderId="77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89" xfId="90" applyFont="1" applyFill="1" applyBorder="1" applyAlignment="1">
      <alignment horizontal="center" vertical="center" wrapText="1"/>
      <protection/>
    </xf>
    <xf numFmtId="0" fontId="7" fillId="0" borderId="75" xfId="90" applyFont="1" applyFill="1" applyBorder="1" applyAlignment="1">
      <alignment horizontal="center" vertical="center" wrapText="1"/>
      <protection/>
    </xf>
    <xf numFmtId="0" fontId="7" fillId="7" borderId="9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textRotation="255"/>
    </xf>
    <xf numFmtId="0" fontId="7" fillId="34" borderId="74" xfId="0" applyFont="1" applyFill="1" applyBorder="1" applyAlignment="1">
      <alignment horizontal="center" vertical="center" wrapText="1"/>
    </xf>
    <xf numFmtId="0" fontId="7" fillId="34" borderId="75" xfId="0" applyFont="1" applyFill="1" applyBorder="1" applyAlignment="1">
      <alignment horizontal="center" vertical="center" wrapText="1"/>
    </xf>
    <xf numFmtId="0" fontId="7" fillId="34" borderId="76" xfId="0" applyFont="1" applyFill="1" applyBorder="1" applyAlignment="1">
      <alignment horizontal="center" vertical="center" wrapText="1"/>
    </xf>
    <xf numFmtId="179" fontId="8" fillId="0" borderId="24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255"/>
    </xf>
    <xf numFmtId="0" fontId="83" fillId="0" borderId="82" xfId="0" applyFont="1" applyFill="1" applyBorder="1" applyAlignment="1">
      <alignment horizontal="center" vertical="center" wrapText="1"/>
    </xf>
    <xf numFmtId="0" fontId="83" fillId="0" borderId="83" xfId="0" applyFont="1" applyFill="1" applyBorder="1" applyAlignment="1">
      <alignment horizontal="center" vertical="center" wrapText="1"/>
    </xf>
    <xf numFmtId="0" fontId="83" fillId="0" borderId="60" xfId="0" applyFont="1" applyFill="1" applyBorder="1" applyAlignment="1">
      <alignment horizontal="center" vertical="center" wrapText="1"/>
    </xf>
    <xf numFmtId="178" fontId="8" fillId="0" borderId="24" xfId="0" applyNumberFormat="1" applyFont="1" applyFill="1" applyBorder="1" applyAlignment="1">
      <alignment horizontal="center" vertical="center"/>
    </xf>
    <xf numFmtId="0" fontId="12" fillId="6" borderId="91" xfId="0" applyFont="1" applyFill="1" applyBorder="1" applyAlignment="1">
      <alignment horizontal="center" vertical="center"/>
    </xf>
    <xf numFmtId="0" fontId="12" fillId="6" borderId="92" xfId="0" applyFont="1" applyFill="1" applyBorder="1" applyAlignment="1">
      <alignment horizontal="center" vertical="center"/>
    </xf>
    <xf numFmtId="180" fontId="8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2" fillId="6" borderId="51" xfId="0" applyFont="1" applyFill="1" applyBorder="1" applyAlignment="1">
      <alignment horizontal="center" vertical="center"/>
    </xf>
    <xf numFmtId="0" fontId="92" fillId="6" borderId="88" xfId="0" applyFont="1" applyFill="1" applyBorder="1" applyAlignment="1">
      <alignment horizontal="center" vertical="center"/>
    </xf>
    <xf numFmtId="0" fontId="92" fillId="6" borderId="52" xfId="0" applyFont="1" applyFill="1" applyBorder="1" applyAlignment="1">
      <alignment horizontal="center" vertical="center"/>
    </xf>
    <xf numFmtId="0" fontId="92" fillId="6" borderId="81" xfId="0" applyFont="1" applyFill="1" applyBorder="1" applyAlignment="1">
      <alignment horizontal="center" vertical="center"/>
    </xf>
    <xf numFmtId="0" fontId="83" fillId="6" borderId="93" xfId="0" applyFont="1" applyFill="1" applyBorder="1" applyAlignment="1">
      <alignment horizontal="center" vertical="center" wrapText="1"/>
    </xf>
    <xf numFmtId="0" fontId="83" fillId="6" borderId="94" xfId="0" applyFont="1" applyFill="1" applyBorder="1" applyAlignment="1">
      <alignment horizontal="center" vertical="center" wrapText="1"/>
    </xf>
    <xf numFmtId="0" fontId="83" fillId="6" borderId="95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textRotation="255"/>
    </xf>
    <xf numFmtId="176" fontId="8" fillId="34" borderId="24" xfId="0" applyNumberFormat="1" applyFont="1" applyFill="1" applyBorder="1" applyAlignment="1">
      <alignment horizontal="center" vertical="center"/>
    </xf>
    <xf numFmtId="0" fontId="12" fillId="6" borderId="96" xfId="0" applyFont="1" applyFill="1" applyBorder="1" applyAlignment="1">
      <alignment horizontal="center" vertical="center"/>
    </xf>
    <xf numFmtId="0" fontId="7" fillId="7" borderId="97" xfId="0" applyFont="1" applyFill="1" applyBorder="1" applyAlignment="1">
      <alignment horizontal="center" vertical="center" wrapText="1"/>
    </xf>
    <xf numFmtId="182" fontId="7" fillId="0" borderId="0" xfId="0" applyNumberFormat="1" applyFont="1" applyFill="1" applyAlignment="1">
      <alignment horizontal="left" vertical="center"/>
    </xf>
    <xf numFmtId="0" fontId="7" fillId="7" borderId="0" xfId="0" applyFont="1" applyFill="1" applyAlignment="1">
      <alignment horizontal="center" vertical="center" wrapText="1"/>
    </xf>
    <xf numFmtId="0" fontId="7" fillId="7" borderId="98" xfId="0" applyFont="1" applyFill="1" applyBorder="1" applyAlignment="1">
      <alignment horizontal="center" vertical="center" wrapText="1"/>
    </xf>
    <xf numFmtId="0" fontId="83" fillId="0" borderId="60" xfId="90" applyFont="1" applyBorder="1" applyAlignment="1">
      <alignment horizontal="center" vertical="center" wrapText="1"/>
      <protection/>
    </xf>
    <xf numFmtId="0" fontId="83" fillId="0" borderId="12" xfId="90" applyFont="1" applyBorder="1" applyAlignment="1">
      <alignment horizontal="center" vertical="center" wrapText="1"/>
      <protection/>
    </xf>
    <xf numFmtId="0" fontId="83" fillId="0" borderId="14" xfId="90" applyFont="1" applyBorder="1" applyAlignment="1">
      <alignment horizontal="center" vertical="center" wrapText="1"/>
      <protection/>
    </xf>
    <xf numFmtId="0" fontId="7" fillId="0" borderId="82" xfId="90" applyFont="1" applyBorder="1" applyAlignment="1">
      <alignment horizontal="center" vertical="center" wrapText="1"/>
      <protection/>
    </xf>
    <xf numFmtId="0" fontId="7" fillId="0" borderId="83" xfId="90" applyFont="1" applyBorder="1" applyAlignment="1">
      <alignment horizontal="center" vertical="center" wrapText="1"/>
      <protection/>
    </xf>
    <xf numFmtId="0" fontId="7" fillId="0" borderId="99" xfId="90" applyFont="1" applyBorder="1" applyAlignment="1">
      <alignment horizontal="center" vertical="center" wrapText="1"/>
      <protection/>
    </xf>
    <xf numFmtId="0" fontId="7" fillId="6" borderId="100" xfId="0" applyFont="1" applyFill="1" applyBorder="1" applyAlignment="1">
      <alignment horizontal="center" vertical="center" wrapText="1"/>
    </xf>
    <xf numFmtId="0" fontId="7" fillId="6" borderId="101" xfId="0" applyFont="1" applyFill="1" applyBorder="1" applyAlignment="1">
      <alignment horizontal="center" vertical="center" wrapText="1"/>
    </xf>
    <xf numFmtId="0" fontId="7" fillId="6" borderId="102" xfId="0" applyFont="1" applyFill="1" applyBorder="1" applyAlignment="1">
      <alignment horizontal="center" vertical="center" wrapText="1"/>
    </xf>
    <xf numFmtId="0" fontId="12" fillId="6" borderId="103" xfId="0" applyFont="1" applyFill="1" applyBorder="1" applyAlignment="1">
      <alignment horizontal="center" vertical="center"/>
    </xf>
    <xf numFmtId="0" fontId="12" fillId="6" borderId="104" xfId="0" applyFont="1" applyFill="1" applyBorder="1" applyAlignment="1">
      <alignment horizontal="center" vertical="center"/>
    </xf>
    <xf numFmtId="0" fontId="12" fillId="6" borderId="105" xfId="0" applyFont="1" applyFill="1" applyBorder="1" applyAlignment="1">
      <alignment horizontal="center" vertical="center"/>
    </xf>
    <xf numFmtId="0" fontId="7" fillId="6" borderId="96" xfId="0" applyFont="1" applyFill="1" applyBorder="1" applyAlignment="1">
      <alignment horizontal="center" vertical="center" wrapText="1"/>
    </xf>
    <xf numFmtId="0" fontId="7" fillId="6" borderId="105" xfId="0" applyFont="1" applyFill="1" applyBorder="1" applyAlignment="1">
      <alignment horizontal="center" vertical="center" wrapText="1"/>
    </xf>
    <xf numFmtId="0" fontId="7" fillId="6" borderId="106" xfId="0" applyFont="1" applyFill="1" applyBorder="1" applyAlignment="1">
      <alignment horizontal="center" vertical="center" wrapText="1"/>
    </xf>
    <xf numFmtId="0" fontId="92" fillId="6" borderId="50" xfId="0" applyFont="1" applyFill="1" applyBorder="1" applyAlignment="1">
      <alignment horizontal="center" vertical="center"/>
    </xf>
    <xf numFmtId="0" fontId="92" fillId="6" borderId="87" xfId="0" applyFont="1" applyFill="1" applyBorder="1" applyAlignment="1">
      <alignment horizontal="center" vertical="center"/>
    </xf>
    <xf numFmtId="0" fontId="7" fillId="7" borderId="57" xfId="0" applyFont="1" applyFill="1" applyBorder="1" applyAlignment="1">
      <alignment horizontal="center" vertical="center" wrapText="1"/>
    </xf>
    <xf numFmtId="0" fontId="83" fillId="7" borderId="12" xfId="0" applyFont="1" applyFill="1" applyBorder="1" applyAlignment="1">
      <alignment horizontal="center" vertical="center" wrapText="1"/>
    </xf>
    <xf numFmtId="0" fontId="7" fillId="6" borderId="93" xfId="0" applyFont="1" applyFill="1" applyBorder="1" applyAlignment="1">
      <alignment horizontal="center" vertical="center" wrapText="1"/>
    </xf>
    <xf numFmtId="0" fontId="7" fillId="6" borderId="94" xfId="0" applyFont="1" applyFill="1" applyBorder="1" applyAlignment="1">
      <alignment horizontal="center" vertical="center" wrapText="1"/>
    </xf>
    <xf numFmtId="0" fontId="7" fillId="6" borderId="95" xfId="0" applyFont="1" applyFill="1" applyBorder="1" applyAlignment="1">
      <alignment horizontal="center" vertical="center" wrapText="1"/>
    </xf>
    <xf numFmtId="0" fontId="7" fillId="0" borderId="82" xfId="90" applyFont="1" applyFill="1" applyBorder="1" applyAlignment="1">
      <alignment horizontal="center" vertical="center" wrapText="1"/>
      <protection/>
    </xf>
    <xf numFmtId="0" fontId="7" fillId="0" borderId="83" xfId="90" applyFont="1" applyFill="1" applyBorder="1" applyAlignment="1">
      <alignment horizontal="center" vertical="center" wrapText="1"/>
      <protection/>
    </xf>
    <xf numFmtId="0" fontId="7" fillId="6" borderId="107" xfId="0" applyFont="1" applyFill="1" applyBorder="1" applyAlignment="1">
      <alignment horizontal="center" vertical="center" wrapText="1"/>
    </xf>
    <xf numFmtId="0" fontId="7" fillId="6" borderId="108" xfId="0" applyFont="1" applyFill="1" applyBorder="1" applyAlignment="1">
      <alignment horizontal="center" vertical="center" wrapText="1"/>
    </xf>
    <xf numFmtId="0" fontId="7" fillId="6" borderId="109" xfId="0" applyFont="1" applyFill="1" applyBorder="1" applyAlignment="1">
      <alignment horizontal="center" vertical="center" wrapText="1"/>
    </xf>
    <xf numFmtId="0" fontId="7" fillId="34" borderId="82" xfId="90" applyFont="1" applyFill="1" applyBorder="1" applyAlignment="1">
      <alignment horizontal="center" vertical="center" wrapText="1"/>
      <protection/>
    </xf>
    <xf numFmtId="0" fontId="7" fillId="34" borderId="83" xfId="90" applyFont="1" applyFill="1" applyBorder="1" applyAlignment="1">
      <alignment horizontal="center" vertical="center" wrapText="1"/>
      <protection/>
    </xf>
    <xf numFmtId="0" fontId="7" fillId="34" borderId="99" xfId="90" applyFont="1" applyFill="1" applyBorder="1" applyAlignment="1">
      <alignment horizontal="center" vertical="center" wrapText="1"/>
      <protection/>
    </xf>
    <xf numFmtId="0" fontId="93" fillId="34" borderId="21" xfId="0" applyFont="1" applyFill="1" applyBorder="1" applyAlignment="1">
      <alignment horizontal="center" vertical="center"/>
    </xf>
    <xf numFmtId="0" fontId="93" fillId="34" borderId="20" xfId="0" applyFont="1" applyFill="1" applyBorder="1" applyAlignment="1">
      <alignment horizontal="center" vertical="center"/>
    </xf>
    <xf numFmtId="0" fontId="93" fillId="34" borderId="34" xfId="0" applyFont="1" applyFill="1" applyBorder="1" applyAlignment="1">
      <alignment horizontal="center" vertical="center" wrapText="1"/>
    </xf>
    <xf numFmtId="0" fontId="93" fillId="34" borderId="110" xfId="0" applyFont="1" applyFill="1" applyBorder="1" applyAlignment="1">
      <alignment horizontal="center" vertical="center" wrapText="1"/>
    </xf>
    <xf numFmtId="0" fontId="20" fillId="0" borderId="60" xfId="90" applyFont="1" applyFill="1" applyBorder="1" applyAlignment="1">
      <alignment horizontal="center" vertical="center" wrapText="1"/>
      <protection/>
    </xf>
    <xf numFmtId="0" fontId="20" fillId="0" borderId="12" xfId="90" applyFont="1" applyFill="1" applyBorder="1" applyAlignment="1">
      <alignment horizontal="center" vertical="center" wrapText="1"/>
      <protection/>
    </xf>
    <xf numFmtId="0" fontId="85" fillId="0" borderId="60" xfId="90" applyFont="1" applyFill="1" applyBorder="1" applyAlignment="1">
      <alignment horizontal="center" vertical="center" wrapText="1"/>
      <protection/>
    </xf>
    <xf numFmtId="0" fontId="85" fillId="0" borderId="12" xfId="90" applyFont="1" applyFill="1" applyBorder="1" applyAlignment="1">
      <alignment horizontal="center" vertical="center" wrapText="1"/>
      <protection/>
    </xf>
    <xf numFmtId="0" fontId="7" fillId="7" borderId="53" xfId="0" applyFont="1" applyFill="1" applyBorder="1" applyAlignment="1">
      <alignment horizontal="center" vertical="center" wrapText="1"/>
    </xf>
    <xf numFmtId="176" fontId="8" fillId="0" borderId="24" xfId="0" applyNumberFormat="1" applyFont="1" applyFill="1" applyBorder="1" applyAlignment="1">
      <alignment horizontal="center" vertical="center"/>
    </xf>
    <xf numFmtId="180" fontId="8" fillId="0" borderId="53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7" fillId="7" borderId="82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8" fillId="6" borderId="112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8" fillId="6" borderId="113" xfId="0" applyFont="1" applyFill="1" applyBorder="1" applyAlignment="1">
      <alignment horizontal="center" vertical="center"/>
    </xf>
    <xf numFmtId="0" fontId="7" fillId="34" borderId="82" xfId="0" applyFont="1" applyFill="1" applyBorder="1" applyAlignment="1">
      <alignment horizontal="center" vertical="center" wrapText="1"/>
    </xf>
    <xf numFmtId="0" fontId="7" fillId="34" borderId="83" xfId="0" applyFont="1" applyFill="1" applyBorder="1" applyAlignment="1">
      <alignment horizontal="center" vertical="center" wrapText="1"/>
    </xf>
    <xf numFmtId="0" fontId="7" fillId="34" borderId="60" xfId="0" applyFont="1" applyFill="1" applyBorder="1" applyAlignment="1">
      <alignment horizontal="center" vertical="center" wrapText="1"/>
    </xf>
    <xf numFmtId="0" fontId="7" fillId="7" borderId="114" xfId="0" applyFont="1" applyFill="1" applyBorder="1" applyAlignment="1">
      <alignment horizontal="center" vertical="center" wrapText="1"/>
    </xf>
    <xf numFmtId="0" fontId="7" fillId="7" borderId="115" xfId="0" applyFont="1" applyFill="1" applyBorder="1" applyAlignment="1">
      <alignment horizontal="center" vertical="center" wrapText="1"/>
    </xf>
    <xf numFmtId="0" fontId="8" fillId="6" borderId="116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 textRotation="255"/>
    </xf>
    <xf numFmtId="0" fontId="8" fillId="0" borderId="61" xfId="0" applyFont="1" applyFill="1" applyBorder="1" applyAlignment="1">
      <alignment horizontal="center" vertical="center" textRotation="255"/>
    </xf>
    <xf numFmtId="176" fontId="8" fillId="0" borderId="117" xfId="0" applyNumberFormat="1" applyFont="1" applyFill="1" applyBorder="1" applyAlignment="1">
      <alignment horizontal="center" vertical="center"/>
    </xf>
    <xf numFmtId="0" fontId="7" fillId="7" borderId="61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7" fillId="6" borderId="118" xfId="0" applyFont="1" applyFill="1" applyBorder="1" applyAlignment="1">
      <alignment horizontal="center" vertical="center" wrapText="1"/>
    </xf>
    <xf numFmtId="0" fontId="7" fillId="6" borderId="119" xfId="0" applyFont="1" applyFill="1" applyBorder="1" applyAlignment="1">
      <alignment horizontal="center" vertical="center" wrapText="1"/>
    </xf>
    <xf numFmtId="0" fontId="7" fillId="6" borderId="120" xfId="0" applyFont="1" applyFill="1" applyBorder="1" applyAlignment="1">
      <alignment horizontal="center" vertical="center" wrapText="1"/>
    </xf>
    <xf numFmtId="0" fontId="7" fillId="7" borderId="121" xfId="0" applyFont="1" applyFill="1" applyBorder="1" applyAlignment="1">
      <alignment horizontal="center" vertical="center" wrapText="1"/>
    </xf>
    <xf numFmtId="178" fontId="8" fillId="0" borderId="117" xfId="0" applyNumberFormat="1" applyFont="1" applyFill="1" applyBorder="1" applyAlignment="1">
      <alignment horizontal="center" vertical="center"/>
    </xf>
    <xf numFmtId="180" fontId="8" fillId="0" borderId="117" xfId="0" applyNumberFormat="1" applyFont="1" applyFill="1" applyBorder="1" applyAlignment="1">
      <alignment horizontal="center" vertical="center"/>
    </xf>
    <xf numFmtId="180" fontId="8" fillId="0" borderId="122" xfId="0" applyNumberFormat="1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7" fillId="7" borderId="124" xfId="0" applyFont="1" applyFill="1" applyBorder="1" applyAlignment="1">
      <alignment horizontal="center" vertical="center" wrapText="1"/>
    </xf>
    <xf numFmtId="0" fontId="7" fillId="7" borderId="125" xfId="0" applyFont="1" applyFill="1" applyBorder="1" applyAlignment="1">
      <alignment horizontal="center" vertical="center" wrapText="1"/>
    </xf>
    <xf numFmtId="0" fontId="7" fillId="7" borderId="126" xfId="0" applyFont="1" applyFill="1" applyBorder="1" applyAlignment="1">
      <alignment horizontal="center" vertical="center" wrapText="1"/>
    </xf>
    <xf numFmtId="0" fontId="7" fillId="0" borderId="12" xfId="90" applyFont="1" applyFill="1" applyBorder="1" applyAlignment="1">
      <alignment horizontal="center" vertical="center" wrapText="1"/>
      <protection/>
    </xf>
    <xf numFmtId="0" fontId="8" fillId="0" borderId="40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 textRotation="255"/>
    </xf>
    <xf numFmtId="0" fontId="20" fillId="0" borderId="82" xfId="0" applyFont="1" applyFill="1" applyBorder="1" applyAlignment="1">
      <alignment horizontal="center" vertical="center" wrapText="1"/>
    </xf>
    <xf numFmtId="0" fontId="20" fillId="0" borderId="83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8" fillId="0" borderId="117" xfId="0" applyFont="1" applyFill="1" applyBorder="1" applyAlignment="1">
      <alignment horizontal="center" vertical="center" textRotation="255"/>
    </xf>
    <xf numFmtId="179" fontId="8" fillId="0" borderId="117" xfId="0" applyNumberFormat="1" applyFont="1" applyFill="1" applyBorder="1" applyAlignment="1">
      <alignment horizontal="center" vertical="center"/>
    </xf>
    <xf numFmtId="177" fontId="8" fillId="0" borderId="117" xfId="0" applyNumberFormat="1" applyFont="1" applyFill="1" applyBorder="1" applyAlignment="1">
      <alignment horizontal="center" vertical="center"/>
    </xf>
    <xf numFmtId="0" fontId="85" fillId="0" borderId="89" xfId="90" applyFont="1" applyFill="1" applyBorder="1" applyAlignment="1">
      <alignment horizontal="center" vertical="center" wrapText="1"/>
      <protection/>
    </xf>
    <xf numFmtId="0" fontId="85" fillId="0" borderId="75" xfId="90" applyFont="1" applyFill="1" applyBorder="1" applyAlignment="1">
      <alignment horizontal="center" vertical="center" wrapText="1"/>
      <protection/>
    </xf>
    <xf numFmtId="0" fontId="85" fillId="0" borderId="127" xfId="90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right" vertical="center"/>
    </xf>
    <xf numFmtId="0" fontId="8" fillId="0" borderId="128" xfId="0" applyFont="1" applyFill="1" applyBorder="1" applyAlignment="1">
      <alignment horizontal="center" vertical="center" textRotation="255"/>
    </xf>
    <xf numFmtId="0" fontId="8" fillId="0" borderId="129" xfId="0" applyFont="1" applyFill="1" applyBorder="1" applyAlignment="1">
      <alignment horizontal="center" vertical="center" textRotation="255"/>
    </xf>
    <xf numFmtId="176" fontId="8" fillId="0" borderId="130" xfId="0" applyNumberFormat="1" applyFont="1" applyFill="1" applyBorder="1" applyAlignment="1">
      <alignment horizontal="center" vertical="center"/>
    </xf>
    <xf numFmtId="0" fontId="8" fillId="0" borderId="130" xfId="0" applyFont="1" applyFill="1" applyBorder="1" applyAlignment="1">
      <alignment horizontal="center" vertical="center" textRotation="255"/>
    </xf>
    <xf numFmtId="177" fontId="8" fillId="0" borderId="13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textRotation="255"/>
    </xf>
    <xf numFmtId="178" fontId="8" fillId="0" borderId="130" xfId="0" applyNumberFormat="1" applyFont="1" applyFill="1" applyBorder="1" applyAlignment="1">
      <alignment horizontal="center" vertical="center"/>
    </xf>
    <xf numFmtId="179" fontId="8" fillId="0" borderId="130" xfId="0" applyNumberFormat="1" applyFont="1" applyFill="1" applyBorder="1" applyAlignment="1">
      <alignment horizontal="center" vertical="center"/>
    </xf>
    <xf numFmtId="0" fontId="7" fillId="7" borderId="68" xfId="0" applyFont="1" applyFill="1" applyBorder="1" applyAlignment="1">
      <alignment horizontal="center" vertical="center" wrapText="1"/>
    </xf>
    <xf numFmtId="0" fontId="85" fillId="0" borderId="82" xfId="90" applyFont="1" applyFill="1" applyBorder="1" applyAlignment="1">
      <alignment horizontal="center" vertical="center" wrapText="1"/>
      <protection/>
    </xf>
    <xf numFmtId="0" fontId="85" fillId="0" borderId="83" xfId="90" applyFont="1" applyFill="1" applyBorder="1" applyAlignment="1">
      <alignment horizontal="center" vertical="center" wrapText="1"/>
      <protection/>
    </xf>
    <xf numFmtId="0" fontId="7" fillId="34" borderId="131" xfId="0" applyFont="1" applyFill="1" applyBorder="1" applyAlignment="1">
      <alignment horizontal="center" vertical="center" wrapText="1"/>
    </xf>
    <xf numFmtId="0" fontId="7" fillId="34" borderId="132" xfId="0" applyFont="1" applyFill="1" applyBorder="1" applyAlignment="1">
      <alignment horizontal="center" vertical="center" wrapText="1"/>
    </xf>
    <xf numFmtId="180" fontId="8" fillId="0" borderId="130" xfId="0" applyNumberFormat="1" applyFont="1" applyFill="1" applyBorder="1" applyAlignment="1">
      <alignment horizontal="center" vertical="center"/>
    </xf>
    <xf numFmtId="180" fontId="8" fillId="0" borderId="133" xfId="0" applyNumberFormat="1" applyFont="1" applyFill="1" applyBorder="1" applyAlignment="1">
      <alignment horizontal="center" vertical="center"/>
    </xf>
    <xf numFmtId="0" fontId="7" fillId="7" borderId="134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/>
    </xf>
    <xf numFmtId="0" fontId="7" fillId="34" borderId="127" xfId="0" applyFont="1" applyFill="1" applyBorder="1" applyAlignment="1">
      <alignment horizontal="center" vertical="center" wrapText="1"/>
    </xf>
    <xf numFmtId="0" fontId="85" fillId="0" borderId="135" xfId="90" applyFont="1" applyFill="1" applyBorder="1" applyAlignment="1">
      <alignment horizontal="center" vertical="center" wrapText="1"/>
      <protection/>
    </xf>
    <xf numFmtId="0" fontId="85" fillId="0" borderId="136" xfId="90" applyFont="1" applyFill="1" applyBorder="1" applyAlignment="1">
      <alignment horizontal="center" vertical="center" wrapText="1"/>
      <protection/>
    </xf>
    <xf numFmtId="0" fontId="85" fillId="0" borderId="137" xfId="90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center"/>
    </xf>
    <xf numFmtId="0" fontId="12" fillId="6" borderId="73" xfId="0" applyFont="1" applyFill="1" applyBorder="1" applyAlignment="1">
      <alignment horizontal="center" vertical="center"/>
    </xf>
    <xf numFmtId="0" fontId="12" fillId="6" borderId="138" xfId="0" applyFont="1" applyFill="1" applyBorder="1" applyAlignment="1">
      <alignment horizontal="center" vertical="center"/>
    </xf>
    <xf numFmtId="0" fontId="85" fillId="7" borderId="17" xfId="0" applyFont="1" applyFill="1" applyBorder="1" applyAlignment="1">
      <alignment horizontal="center" vertical="center" wrapText="1"/>
    </xf>
    <xf numFmtId="0" fontId="85" fillId="7" borderId="12" xfId="0" applyFont="1" applyFill="1" applyBorder="1" applyAlignment="1">
      <alignment horizontal="center" vertical="center" wrapText="1"/>
    </xf>
    <xf numFmtId="0" fontId="85" fillId="7" borderId="57" xfId="0" applyFont="1" applyFill="1" applyBorder="1" applyAlignment="1">
      <alignment horizontal="center" vertical="center" wrapText="1"/>
    </xf>
    <xf numFmtId="0" fontId="85" fillId="34" borderId="131" xfId="0" applyFont="1" applyFill="1" applyBorder="1" applyAlignment="1">
      <alignment horizontal="center" vertical="center" wrapText="1"/>
    </xf>
    <xf numFmtId="0" fontId="85" fillId="34" borderId="132" xfId="0" applyFont="1" applyFill="1" applyBorder="1" applyAlignment="1">
      <alignment horizontal="center" vertical="center" wrapText="1"/>
    </xf>
    <xf numFmtId="0" fontId="85" fillId="34" borderId="134" xfId="0" applyFont="1" applyFill="1" applyBorder="1" applyAlignment="1">
      <alignment horizontal="center" vertical="center" wrapText="1"/>
    </xf>
    <xf numFmtId="0" fontId="85" fillId="34" borderId="139" xfId="0" applyFont="1" applyFill="1" applyBorder="1" applyAlignment="1">
      <alignment horizontal="center" vertical="center" wrapText="1"/>
    </xf>
    <xf numFmtId="0" fontId="7" fillId="34" borderId="97" xfId="0" applyFont="1" applyFill="1" applyBorder="1" applyAlignment="1">
      <alignment horizontal="center" vertical="center" wrapText="1"/>
    </xf>
    <xf numFmtId="0" fontId="7" fillId="34" borderId="140" xfId="0" applyFont="1" applyFill="1" applyBorder="1" applyAlignment="1">
      <alignment horizontal="center" vertical="center" wrapText="1"/>
    </xf>
    <xf numFmtId="180" fontId="8" fillId="0" borderId="141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84" fontId="8" fillId="0" borderId="130" xfId="0" applyNumberFormat="1" applyFont="1" applyFill="1" applyBorder="1" applyAlignment="1">
      <alignment horizontal="center" vertical="center"/>
    </xf>
    <xf numFmtId="184" fontId="8" fillId="0" borderId="133" xfId="0" applyNumberFormat="1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73" xfId="0" applyFont="1" applyBorder="1" applyAlignment="1">
      <alignment horizontal="left" vertical="center"/>
    </xf>
  </cellXfs>
  <cellStyles count="13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0 2" xfId="34"/>
    <cellStyle name="一般 11" xfId="35"/>
    <cellStyle name="一般 2" xfId="36"/>
    <cellStyle name="一般 2 2" xfId="37"/>
    <cellStyle name="一般 2 2 2" xfId="38"/>
    <cellStyle name="一般 2 2 2 2" xfId="39"/>
    <cellStyle name="一般 2 2 2 3" xfId="40"/>
    <cellStyle name="一般 2 2 2 4" xfId="41"/>
    <cellStyle name="一般 2 2 3" xfId="42"/>
    <cellStyle name="一般 2 2 3 2" xfId="43"/>
    <cellStyle name="一般 2 2 4" xfId="44"/>
    <cellStyle name="一般 2 3" xfId="45"/>
    <cellStyle name="一般 2 4" xfId="46"/>
    <cellStyle name="一般 2 9" xfId="47"/>
    <cellStyle name="一般 3" xfId="48"/>
    <cellStyle name="一般 3 2" xfId="49"/>
    <cellStyle name="一般 3 2 2" xfId="50"/>
    <cellStyle name="一般 3 2 3" xfId="51"/>
    <cellStyle name="一般 3 2 3 2" xfId="52"/>
    <cellStyle name="一般 3 2 4" xfId="53"/>
    <cellStyle name="一般 3 2 4 2" xfId="54"/>
    <cellStyle name="一般 3 3" xfId="55"/>
    <cellStyle name="一般 3 3 2" xfId="56"/>
    <cellStyle name="一般 3 4" xfId="57"/>
    <cellStyle name="一般 3 5" xfId="58"/>
    <cellStyle name="一般 4" xfId="59"/>
    <cellStyle name="一般 4 10" xfId="60"/>
    <cellStyle name="一般 4 11" xfId="61"/>
    <cellStyle name="一般 4 2" xfId="62"/>
    <cellStyle name="一般 4 3" xfId="63"/>
    <cellStyle name="一般 4 3 2" xfId="64"/>
    <cellStyle name="一般 4 3 3" xfId="65"/>
    <cellStyle name="一般 4 4" xfId="66"/>
    <cellStyle name="一般 4 4 2" xfId="67"/>
    <cellStyle name="一般 4 4 3" xfId="68"/>
    <cellStyle name="一般 4 5" xfId="69"/>
    <cellStyle name="一般 4 5 2" xfId="70"/>
    <cellStyle name="一般 4 5 3" xfId="71"/>
    <cellStyle name="一般 4 6" xfId="72"/>
    <cellStyle name="一般 4 6 2" xfId="73"/>
    <cellStyle name="一般 4 6 3" xfId="74"/>
    <cellStyle name="一般 4 7" xfId="75"/>
    <cellStyle name="一般 4 7 2" xfId="76"/>
    <cellStyle name="一般 4 7 3" xfId="77"/>
    <cellStyle name="一般 4 8" xfId="78"/>
    <cellStyle name="一般 4 8 2" xfId="79"/>
    <cellStyle name="一般 4 8 3" xfId="80"/>
    <cellStyle name="一般 4 9" xfId="81"/>
    <cellStyle name="一般 4 9 2" xfId="82"/>
    <cellStyle name="一般 4 9 3" xfId="83"/>
    <cellStyle name="一般 4_大竹.新莊菜單103下W5 2" xfId="84"/>
    <cellStyle name="一般 5" xfId="85"/>
    <cellStyle name="一般 5 2" xfId="86"/>
    <cellStyle name="一般 6" xfId="87"/>
    <cellStyle name="一般 6 2" xfId="88"/>
    <cellStyle name="一般 6 2 2" xfId="89"/>
    <cellStyle name="一般 7" xfId="90"/>
    <cellStyle name="一般 7 3" xfId="91"/>
    <cellStyle name="一般 7 3 2" xfId="92"/>
    <cellStyle name="一般 7 3 4 2" xfId="93"/>
    <cellStyle name="一般 8" xfId="94"/>
    <cellStyle name="一般 8 2" xfId="95"/>
    <cellStyle name="一般 9" xfId="96"/>
    <cellStyle name="Comma" xfId="97"/>
    <cellStyle name="千分位 2" xfId="98"/>
    <cellStyle name="千分位 2 2" xfId="99"/>
    <cellStyle name="千分位 2 2 2" xfId="100"/>
    <cellStyle name="千分位 2 2 2 2" xfId="101"/>
    <cellStyle name="千分位 2 2 2 3" xfId="102"/>
    <cellStyle name="千分位 2 2 3" xfId="103"/>
    <cellStyle name="千分位 2 2 4" xfId="104"/>
    <cellStyle name="千分位 2 3" xfId="105"/>
    <cellStyle name="千分位 2 3 2" xfId="106"/>
    <cellStyle name="千分位 2 4" xfId="107"/>
    <cellStyle name="Comma [0]" xfId="108"/>
    <cellStyle name="Followed Hyperlink" xfId="109"/>
    <cellStyle name="中等" xfId="110"/>
    <cellStyle name="合計" xfId="111"/>
    <cellStyle name="好" xfId="112"/>
    <cellStyle name="Percent" xfId="113"/>
    <cellStyle name="百分比 2" xfId="114"/>
    <cellStyle name="百分比 2 2" xfId="115"/>
    <cellStyle name="百分比 2 2 2" xfId="116"/>
    <cellStyle name="百分比 2 2 3" xfId="117"/>
    <cellStyle name="百分比 2 3" xfId="118"/>
    <cellStyle name="百分比 2 4" xfId="119"/>
    <cellStyle name="計算方式" xfId="120"/>
    <cellStyle name="Currency" xfId="121"/>
    <cellStyle name="Currency [0]" xfId="122"/>
    <cellStyle name="連結的儲存格" xfId="123"/>
    <cellStyle name="備註" xfId="124"/>
    <cellStyle name="Hyperlink" xfId="125"/>
    <cellStyle name="說明文字" xfId="126"/>
    <cellStyle name="輔色1" xfId="127"/>
    <cellStyle name="輔色1 2" xfId="128"/>
    <cellStyle name="輔色2" xfId="129"/>
    <cellStyle name="輔色3" xfId="130"/>
    <cellStyle name="輔色4" xfId="131"/>
    <cellStyle name="輔色5" xfId="132"/>
    <cellStyle name="輔色6" xfId="133"/>
    <cellStyle name="標題" xfId="134"/>
    <cellStyle name="標題 1" xfId="135"/>
    <cellStyle name="標題 2" xfId="136"/>
    <cellStyle name="標題 3" xfId="137"/>
    <cellStyle name="標題 4" xfId="138"/>
    <cellStyle name="輸入" xfId="139"/>
    <cellStyle name="輸出" xfId="140"/>
    <cellStyle name="檢查儲存格" xfId="141"/>
    <cellStyle name="壞" xfId="142"/>
    <cellStyle name="警告文字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宣紙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V34"/>
  <sheetViews>
    <sheetView view="pageBreakPreview" zoomScaleSheetLayoutView="100" workbookViewId="0" topLeftCell="A1">
      <selection activeCell="AH1" sqref="AH1:AI16384"/>
    </sheetView>
  </sheetViews>
  <sheetFormatPr defaultColWidth="6.125" defaultRowHeight="22.5" customHeight="1"/>
  <cols>
    <col min="1" max="1" width="3.75390625" style="67" customWidth="1"/>
    <col min="2" max="2" width="18.375" style="68" customWidth="1"/>
    <col min="3" max="3" width="6.125" style="68" hidden="1" customWidth="1"/>
    <col min="4" max="5" width="5.625" style="68" customWidth="1"/>
    <col min="6" max="6" width="6.125" style="69" hidden="1" customWidth="1"/>
    <col min="7" max="7" width="6.125" style="70" hidden="1" customWidth="1"/>
    <col min="8" max="8" width="3.625" style="67" customWidth="1"/>
    <col min="9" max="9" width="17.625" style="68" customWidth="1"/>
    <col min="10" max="10" width="6.125" style="68" hidden="1" customWidth="1"/>
    <col min="11" max="12" width="5.625" style="68" customWidth="1"/>
    <col min="13" max="13" width="6.125" style="69" hidden="1" customWidth="1"/>
    <col min="14" max="14" width="6.125" style="70" hidden="1" customWidth="1"/>
    <col min="15" max="15" width="3.875" style="67" customWidth="1"/>
    <col min="16" max="16" width="16.375" style="68" customWidth="1"/>
    <col min="17" max="17" width="6.125" style="68" hidden="1" customWidth="1"/>
    <col min="18" max="19" width="5.625" style="68" customWidth="1"/>
    <col min="20" max="20" width="6.125" style="69" hidden="1" customWidth="1"/>
    <col min="21" max="21" width="6.125" style="70" hidden="1" customWidth="1"/>
    <col min="22" max="22" width="3.625" style="71" customWidth="1"/>
    <col min="23" max="23" width="16.125" style="68" customWidth="1"/>
    <col min="24" max="24" width="6.125" style="68" hidden="1" customWidth="1"/>
    <col min="25" max="26" width="5.625" style="68" customWidth="1"/>
    <col min="27" max="27" width="6.125" style="69" hidden="1" customWidth="1"/>
    <col min="28" max="28" width="6.125" style="70" hidden="1" customWidth="1"/>
    <col min="29" max="29" width="4.125" style="67" customWidth="1"/>
    <col min="30" max="30" width="16.125" style="68" customWidth="1"/>
    <col min="31" max="31" width="6.125" style="68" hidden="1" customWidth="1"/>
    <col min="32" max="33" width="5.625" style="68" customWidth="1"/>
    <col min="34" max="34" width="6.125" style="72" hidden="1" customWidth="1"/>
    <col min="35" max="35" width="6.125" style="70" hidden="1" customWidth="1"/>
    <col min="36" max="36" width="11.00390625" style="73" customWidth="1"/>
    <col min="37" max="37" width="8.00390625" style="73" bestFit="1" customWidth="1"/>
    <col min="38" max="16384" width="6.125" style="73" customWidth="1"/>
  </cols>
  <sheetData>
    <row r="1" spans="1:38" s="91" customFormat="1" ht="30" customHeight="1">
      <c r="A1" s="347" t="s">
        <v>246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227"/>
      <c r="N1" s="227"/>
      <c r="O1" s="214">
        <v>3</v>
      </c>
      <c r="P1" s="348" t="s">
        <v>245</v>
      </c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90"/>
      <c r="AF1" s="90">
        <v>74</v>
      </c>
      <c r="AG1" s="90"/>
      <c r="AH1" s="90"/>
      <c r="AI1" s="90"/>
      <c r="AL1" s="91">
        <v>74</v>
      </c>
    </row>
    <row r="2" spans="1:35" s="40" customFormat="1" ht="18.75" customHeight="1">
      <c r="A2" s="381" t="s">
        <v>23</v>
      </c>
      <c r="B2" s="382">
        <v>45348</v>
      </c>
      <c r="C2" s="382"/>
      <c r="D2" s="382"/>
      <c r="E2" s="382"/>
      <c r="F2" s="31"/>
      <c r="G2" s="32"/>
      <c r="H2" s="359" t="s">
        <v>23</v>
      </c>
      <c r="I2" s="364">
        <f>B2+1</f>
        <v>45349</v>
      </c>
      <c r="J2" s="364"/>
      <c r="K2" s="364"/>
      <c r="L2" s="364"/>
      <c r="M2" s="33"/>
      <c r="N2" s="34"/>
      <c r="O2" s="365" t="s">
        <v>23</v>
      </c>
      <c r="P2" s="369">
        <f>I2+1</f>
        <v>45350</v>
      </c>
      <c r="Q2" s="369"/>
      <c r="R2" s="369"/>
      <c r="S2" s="369"/>
      <c r="T2" s="35"/>
      <c r="U2" s="36"/>
      <c r="V2" s="365" t="s">
        <v>23</v>
      </c>
      <c r="W2" s="363">
        <f>P2+1</f>
        <v>45351</v>
      </c>
      <c r="X2" s="363"/>
      <c r="Y2" s="363"/>
      <c r="Z2" s="363"/>
      <c r="AA2" s="37"/>
      <c r="AB2" s="38"/>
      <c r="AC2" s="365" t="s">
        <v>23</v>
      </c>
      <c r="AD2" s="372">
        <f>W2+1</f>
        <v>45352</v>
      </c>
      <c r="AE2" s="372"/>
      <c r="AF2" s="372"/>
      <c r="AG2" s="372"/>
      <c r="AH2" s="39"/>
      <c r="AI2" s="181"/>
    </row>
    <row r="3" spans="1:35" s="40" customFormat="1" ht="18.75" customHeight="1">
      <c r="A3" s="381"/>
      <c r="B3" s="184" t="s">
        <v>24</v>
      </c>
      <c r="C3" s="184" t="s">
        <v>25</v>
      </c>
      <c r="D3" s="215" t="s">
        <v>26</v>
      </c>
      <c r="E3" s="215" t="s">
        <v>27</v>
      </c>
      <c r="F3" s="43" t="s">
        <v>28</v>
      </c>
      <c r="G3" s="41" t="s">
        <v>29</v>
      </c>
      <c r="H3" s="359"/>
      <c r="I3" s="41" t="s">
        <v>24</v>
      </c>
      <c r="J3" s="41" t="s">
        <v>25</v>
      </c>
      <c r="K3" s="42" t="s">
        <v>26</v>
      </c>
      <c r="L3" s="42" t="s">
        <v>27</v>
      </c>
      <c r="M3" s="43" t="s">
        <v>28</v>
      </c>
      <c r="N3" s="44" t="s">
        <v>29</v>
      </c>
      <c r="O3" s="365"/>
      <c r="P3" s="41" t="s">
        <v>24</v>
      </c>
      <c r="Q3" s="41" t="s">
        <v>25</v>
      </c>
      <c r="R3" s="42" t="s">
        <v>26</v>
      </c>
      <c r="S3" s="42" t="s">
        <v>27</v>
      </c>
      <c r="T3" s="43" t="s">
        <v>28</v>
      </c>
      <c r="U3" s="44" t="s">
        <v>29</v>
      </c>
      <c r="V3" s="365"/>
      <c r="W3" s="41" t="s">
        <v>24</v>
      </c>
      <c r="X3" s="41" t="s">
        <v>25</v>
      </c>
      <c r="Y3" s="42" t="s">
        <v>26</v>
      </c>
      <c r="Z3" s="42" t="s">
        <v>27</v>
      </c>
      <c r="AA3" s="43" t="s">
        <v>28</v>
      </c>
      <c r="AB3" s="44" t="s">
        <v>29</v>
      </c>
      <c r="AC3" s="365"/>
      <c r="AD3" s="41" t="s">
        <v>24</v>
      </c>
      <c r="AE3" s="41" t="s">
        <v>25</v>
      </c>
      <c r="AF3" s="42" t="s">
        <v>26</v>
      </c>
      <c r="AG3" s="42" t="s">
        <v>27</v>
      </c>
      <c r="AH3" s="43" t="s">
        <v>28</v>
      </c>
      <c r="AI3" s="182" t="s">
        <v>29</v>
      </c>
    </row>
    <row r="4" spans="1:35" s="50" customFormat="1" ht="18.75" customHeight="1" hidden="1">
      <c r="A4" s="381"/>
      <c r="B4" s="354" t="s">
        <v>30</v>
      </c>
      <c r="C4" s="354"/>
      <c r="D4" s="354"/>
      <c r="E4" s="354"/>
      <c r="F4" s="45"/>
      <c r="G4" s="46"/>
      <c r="H4" s="359"/>
      <c r="I4" s="355" t="s">
        <v>31</v>
      </c>
      <c r="J4" s="355"/>
      <c r="K4" s="355"/>
      <c r="L4" s="355"/>
      <c r="M4" s="45"/>
      <c r="N4" s="47"/>
      <c r="O4" s="365"/>
      <c r="P4" s="355" t="s">
        <v>32</v>
      </c>
      <c r="Q4" s="355"/>
      <c r="R4" s="355"/>
      <c r="S4" s="355"/>
      <c r="T4" s="43"/>
      <c r="U4" s="48"/>
      <c r="V4" s="365"/>
      <c r="W4" s="355" t="s">
        <v>33</v>
      </c>
      <c r="X4" s="355"/>
      <c r="Y4" s="355"/>
      <c r="Z4" s="355"/>
      <c r="AA4" s="45"/>
      <c r="AB4" s="47"/>
      <c r="AC4" s="365"/>
      <c r="AD4" s="351" t="s">
        <v>34</v>
      </c>
      <c r="AE4" s="351"/>
      <c r="AF4" s="351"/>
      <c r="AG4" s="351"/>
      <c r="AH4" s="49"/>
      <c r="AI4" s="183"/>
    </row>
    <row r="5" spans="1:35" s="50" customFormat="1" ht="18.75" customHeight="1">
      <c r="A5" s="358" t="s">
        <v>35</v>
      </c>
      <c r="B5" s="353"/>
      <c r="C5" s="353"/>
      <c r="D5" s="353"/>
      <c r="E5" s="353"/>
      <c r="F5" s="305"/>
      <c r="G5" s="87"/>
      <c r="H5" s="358" t="s">
        <v>35</v>
      </c>
      <c r="I5" s="353"/>
      <c r="J5" s="353"/>
      <c r="K5" s="353"/>
      <c r="L5" s="353"/>
      <c r="M5" s="86"/>
      <c r="N5" s="88"/>
      <c r="O5" s="352" t="s">
        <v>35</v>
      </c>
      <c r="P5" s="353"/>
      <c r="Q5" s="353"/>
      <c r="R5" s="353"/>
      <c r="S5" s="353"/>
      <c r="T5" s="86"/>
      <c r="U5" s="88"/>
      <c r="V5" s="352" t="s">
        <v>35</v>
      </c>
      <c r="W5" s="353"/>
      <c r="X5" s="353"/>
      <c r="Y5" s="353"/>
      <c r="Z5" s="353"/>
      <c r="AA5" s="86"/>
      <c r="AB5" s="88"/>
      <c r="AC5" s="352" t="s">
        <v>35</v>
      </c>
      <c r="AD5" s="353"/>
      <c r="AE5" s="353"/>
      <c r="AF5" s="353"/>
      <c r="AG5" s="353"/>
      <c r="AH5" s="45"/>
      <c r="AI5" s="183"/>
    </row>
    <row r="6" spans="1:35" s="50" customFormat="1" ht="18.75" customHeight="1">
      <c r="A6" s="337" t="s">
        <v>160</v>
      </c>
      <c r="B6" s="23" t="s">
        <v>151</v>
      </c>
      <c r="C6" s="23">
        <v>5.4</v>
      </c>
      <c r="D6" s="75">
        <f>ROUND($AF$1*C6/1,0)</f>
        <v>400</v>
      </c>
      <c r="E6" s="303" t="s">
        <v>14</v>
      </c>
      <c r="F6" s="306"/>
      <c r="G6" s="52">
        <f>D6*F6</f>
        <v>0</v>
      </c>
      <c r="H6" s="349" t="s">
        <v>247</v>
      </c>
      <c r="I6" s="291" t="s">
        <v>130</v>
      </c>
      <c r="J6" s="291">
        <v>12</v>
      </c>
      <c r="K6" s="292" t="s">
        <v>131</v>
      </c>
      <c r="L6" s="292" t="s">
        <v>0</v>
      </c>
      <c r="M6" s="306"/>
      <c r="N6" s="52" t="e">
        <f>K6*M6</f>
        <v>#VALUE!</v>
      </c>
      <c r="O6" s="337" t="s">
        <v>251</v>
      </c>
      <c r="P6" s="23"/>
      <c r="Q6" s="23"/>
      <c r="R6" s="75"/>
      <c r="S6" s="125"/>
      <c r="T6" s="260"/>
      <c r="U6" s="175">
        <f>R6*T6</f>
        <v>0</v>
      </c>
      <c r="V6" s="349" t="s">
        <v>258</v>
      </c>
      <c r="W6" s="291" t="s">
        <v>252</v>
      </c>
      <c r="X6" s="291">
        <v>0.84</v>
      </c>
      <c r="Y6" s="292">
        <f>ROUND($AL$1*X6,0)</f>
        <v>62</v>
      </c>
      <c r="Z6" s="295" t="s">
        <v>253</v>
      </c>
      <c r="AA6" s="261"/>
      <c r="AB6" s="48">
        <f>Y6*AA6</f>
        <v>0</v>
      </c>
      <c r="AC6" s="366" t="s">
        <v>213</v>
      </c>
      <c r="AD6" s="24" t="s">
        <v>214</v>
      </c>
      <c r="AE6" s="24">
        <v>1.5</v>
      </c>
      <c r="AF6" s="75">
        <f>ROUND($AF$1*AE6/20,0)</f>
        <v>6</v>
      </c>
      <c r="AG6" s="27" t="s">
        <v>66</v>
      </c>
      <c r="AH6" s="261">
        <v>70</v>
      </c>
      <c r="AI6" s="175">
        <f aca="true" t="shared" si="0" ref="AI6:AI24">AF6*AH6</f>
        <v>420</v>
      </c>
    </row>
    <row r="7" spans="1:45" s="50" customFormat="1" ht="18.75" customHeight="1">
      <c r="A7" s="338"/>
      <c r="B7" s="196" t="s">
        <v>152</v>
      </c>
      <c r="C7" s="197"/>
      <c r="D7" s="75"/>
      <c r="E7" s="92"/>
      <c r="F7" s="307"/>
      <c r="G7" s="52"/>
      <c r="H7" s="350"/>
      <c r="I7" s="291" t="s">
        <v>132</v>
      </c>
      <c r="J7" s="291">
        <v>19.5</v>
      </c>
      <c r="K7" s="292" t="s">
        <v>131</v>
      </c>
      <c r="L7" s="292" t="s">
        <v>0</v>
      </c>
      <c r="M7" s="307"/>
      <c r="N7" s="52" t="e">
        <f aca="true" t="shared" si="1" ref="N7:N15">K7*M7</f>
        <v>#VALUE!</v>
      </c>
      <c r="O7" s="338"/>
      <c r="P7" s="196"/>
      <c r="Q7" s="197"/>
      <c r="R7" s="75"/>
      <c r="S7" s="97"/>
      <c r="T7" s="260"/>
      <c r="U7" s="175">
        <f aca="true" t="shared" si="2" ref="U7:U24">R7*T7</f>
        <v>0</v>
      </c>
      <c r="V7" s="350"/>
      <c r="W7" s="291" t="s">
        <v>254</v>
      </c>
      <c r="X7" s="291">
        <v>0.84</v>
      </c>
      <c r="Y7" s="292">
        <f>ROUND($AL$1*X7,0)</f>
        <v>62</v>
      </c>
      <c r="Z7" s="295" t="s">
        <v>51</v>
      </c>
      <c r="AA7" s="261"/>
      <c r="AB7" s="48">
        <f aca="true" t="shared" si="3" ref="AB7:AB24">Y7*AA7</f>
        <v>0</v>
      </c>
      <c r="AC7" s="367"/>
      <c r="AD7" s="24"/>
      <c r="AE7" s="24"/>
      <c r="AF7" s="75"/>
      <c r="AG7" s="27"/>
      <c r="AH7" s="261"/>
      <c r="AI7" s="175">
        <f t="shared" si="0"/>
        <v>0</v>
      </c>
      <c r="AO7" s="337" t="s">
        <v>210</v>
      </c>
      <c r="AP7" s="23" t="s">
        <v>211</v>
      </c>
      <c r="AQ7" s="23">
        <v>19</v>
      </c>
      <c r="AR7" s="75">
        <f>ROUND($AF$1*AQ7/1000,1)</f>
        <v>1.4</v>
      </c>
      <c r="AS7" s="75" t="s">
        <v>0</v>
      </c>
    </row>
    <row r="8" spans="1:45" s="50" customFormat="1" ht="18.75" customHeight="1">
      <c r="A8" s="338"/>
      <c r="B8" s="76" t="s">
        <v>220</v>
      </c>
      <c r="C8" s="55">
        <v>125</v>
      </c>
      <c r="D8" s="75">
        <f>ROUND($AF$1*C8/1000,0)</f>
        <v>9</v>
      </c>
      <c r="E8" s="75" t="s">
        <v>47</v>
      </c>
      <c r="F8" s="307"/>
      <c r="G8" s="52">
        <f>D8*F8</f>
        <v>0</v>
      </c>
      <c r="H8" s="350"/>
      <c r="I8" s="291" t="s">
        <v>248</v>
      </c>
      <c r="J8" s="291">
        <v>31</v>
      </c>
      <c r="K8" s="292">
        <f>ROUND($AL$1*J8/1000,0)</f>
        <v>2</v>
      </c>
      <c r="L8" s="292" t="s">
        <v>0</v>
      </c>
      <c r="M8" s="307"/>
      <c r="N8" s="52">
        <f t="shared" si="1"/>
        <v>0</v>
      </c>
      <c r="O8" s="338"/>
      <c r="P8" s="76"/>
      <c r="Q8" s="55"/>
      <c r="R8" s="75"/>
      <c r="S8" s="75"/>
      <c r="T8" s="260"/>
      <c r="U8" s="175">
        <f t="shared" si="2"/>
        <v>0</v>
      </c>
      <c r="V8" s="350"/>
      <c r="W8" s="300" t="s">
        <v>147</v>
      </c>
      <c r="X8" s="58">
        <v>1</v>
      </c>
      <c r="Y8" s="292">
        <f>ROUND($AL$1*X8,1)</f>
        <v>74</v>
      </c>
      <c r="Z8" s="301" t="s">
        <v>60</v>
      </c>
      <c r="AA8" s="261"/>
      <c r="AB8" s="48"/>
      <c r="AC8" s="367"/>
      <c r="AD8" s="24"/>
      <c r="AE8" s="24"/>
      <c r="AF8" s="26"/>
      <c r="AG8" s="27"/>
      <c r="AH8" s="261"/>
      <c r="AI8" s="175">
        <f t="shared" si="0"/>
        <v>0</v>
      </c>
      <c r="AO8" s="338"/>
      <c r="AP8" s="59" t="s">
        <v>203</v>
      </c>
      <c r="AQ8" s="59">
        <v>2</v>
      </c>
      <c r="AR8" s="75">
        <f>ROUND($AE$1*AQ8/60,0)</f>
        <v>0</v>
      </c>
      <c r="AS8" s="160" t="s">
        <v>19</v>
      </c>
    </row>
    <row r="9" spans="1:45" s="50" customFormat="1" ht="18.75" customHeight="1">
      <c r="A9" s="338"/>
      <c r="B9" s="28"/>
      <c r="C9" s="56"/>
      <c r="D9" s="92"/>
      <c r="E9" s="92"/>
      <c r="F9" s="307"/>
      <c r="G9" s="52">
        <f aca="true" t="shared" si="4" ref="G9:G15">D9*F9</f>
        <v>0</v>
      </c>
      <c r="H9" s="350"/>
      <c r="I9" s="291" t="s">
        <v>133</v>
      </c>
      <c r="J9" s="291">
        <v>40</v>
      </c>
      <c r="K9" s="292">
        <f>ROUND($AL$1*J9/1000,0)</f>
        <v>3</v>
      </c>
      <c r="L9" s="292" t="s">
        <v>0</v>
      </c>
      <c r="M9" s="307"/>
      <c r="N9" s="52">
        <f t="shared" si="1"/>
        <v>0</v>
      </c>
      <c r="O9" s="338"/>
      <c r="P9" s="28"/>
      <c r="Q9" s="56"/>
      <c r="R9" s="92"/>
      <c r="S9" s="92"/>
      <c r="T9" s="260"/>
      <c r="U9" s="175"/>
      <c r="V9" s="350"/>
      <c r="W9" s="300"/>
      <c r="X9" s="58"/>
      <c r="Y9" s="292"/>
      <c r="Z9" s="301"/>
      <c r="AA9" s="261"/>
      <c r="AB9" s="48">
        <f t="shared" si="3"/>
        <v>0</v>
      </c>
      <c r="AC9" s="367"/>
      <c r="AD9" s="23" t="s">
        <v>211</v>
      </c>
      <c r="AE9" s="23">
        <v>18</v>
      </c>
      <c r="AF9" s="75">
        <f>ROUND($AF$1*AE9/1000,1)</f>
        <v>1.3</v>
      </c>
      <c r="AG9" s="75" t="s">
        <v>0</v>
      </c>
      <c r="AH9" s="261">
        <v>230</v>
      </c>
      <c r="AI9" s="175">
        <f t="shared" si="0"/>
        <v>299</v>
      </c>
      <c r="AO9" s="338"/>
      <c r="AP9" s="59" t="s">
        <v>212</v>
      </c>
      <c r="AQ9" s="59">
        <v>28</v>
      </c>
      <c r="AR9" s="75">
        <f>ROUND($AF$1*AQ9/1000,1)</f>
        <v>2.1</v>
      </c>
      <c r="AS9" s="75" t="s">
        <v>0</v>
      </c>
    </row>
    <row r="10" spans="1:45" s="50" customFormat="1" ht="18.75" customHeight="1">
      <c r="A10" s="338"/>
      <c r="B10" s="23"/>
      <c r="C10" s="23"/>
      <c r="D10" s="75"/>
      <c r="E10" s="75"/>
      <c r="F10" s="307"/>
      <c r="G10" s="52">
        <f t="shared" si="4"/>
        <v>0</v>
      </c>
      <c r="H10" s="350"/>
      <c r="I10" s="291" t="s">
        <v>69</v>
      </c>
      <c r="J10" s="291">
        <v>4</v>
      </c>
      <c r="K10" s="292">
        <f>ROUND($AL$1*J10/1000,1)</f>
        <v>0.3</v>
      </c>
      <c r="L10" s="292" t="s">
        <v>0</v>
      </c>
      <c r="M10" s="307"/>
      <c r="N10" s="52">
        <f t="shared" si="1"/>
        <v>0</v>
      </c>
      <c r="O10" s="338"/>
      <c r="P10" s="23"/>
      <c r="Q10" s="23"/>
      <c r="R10" s="75"/>
      <c r="S10" s="75"/>
      <c r="T10" s="260"/>
      <c r="U10" s="175"/>
      <c r="V10" s="350"/>
      <c r="W10" s="149"/>
      <c r="X10" s="296"/>
      <c r="Y10" s="292"/>
      <c r="Z10" s="292"/>
      <c r="AA10" s="261"/>
      <c r="AB10" s="48">
        <f t="shared" si="3"/>
        <v>0</v>
      </c>
      <c r="AC10" s="367"/>
      <c r="AD10" s="24" t="s">
        <v>56</v>
      </c>
      <c r="AE10" s="24">
        <v>1</v>
      </c>
      <c r="AF10" s="75">
        <f>ROUND($AF$1*AE10/1000,1)</f>
        <v>0.1</v>
      </c>
      <c r="AG10" s="27" t="s">
        <v>0</v>
      </c>
      <c r="AH10" s="261">
        <v>99</v>
      </c>
      <c r="AI10" s="175">
        <f t="shared" si="0"/>
        <v>9.9</v>
      </c>
      <c r="AO10" s="338"/>
      <c r="AP10" s="23" t="s">
        <v>71</v>
      </c>
      <c r="AQ10" s="23">
        <v>2</v>
      </c>
      <c r="AR10" s="75" t="s">
        <v>20</v>
      </c>
      <c r="AS10" s="75" t="s">
        <v>0</v>
      </c>
    </row>
    <row r="11" spans="1:45" s="50" customFormat="1" ht="18.75" customHeight="1">
      <c r="A11" s="338"/>
      <c r="B11" s="23"/>
      <c r="C11" s="23"/>
      <c r="D11" s="75"/>
      <c r="E11" s="75"/>
      <c r="F11" s="307"/>
      <c r="G11" s="52">
        <f t="shared" si="4"/>
        <v>0</v>
      </c>
      <c r="H11" s="350"/>
      <c r="I11" s="291" t="s">
        <v>64</v>
      </c>
      <c r="J11" s="291">
        <v>5</v>
      </c>
      <c r="K11" s="292">
        <f>ROUND($AL$1*J11/1000,1)</f>
        <v>0.4</v>
      </c>
      <c r="L11" s="292" t="s">
        <v>0</v>
      </c>
      <c r="M11" s="307"/>
      <c r="N11" s="52">
        <f t="shared" si="1"/>
        <v>0</v>
      </c>
      <c r="O11" s="338"/>
      <c r="P11" s="23"/>
      <c r="Q11" s="23"/>
      <c r="R11" s="75"/>
      <c r="S11" s="75"/>
      <c r="T11" s="260"/>
      <c r="U11" s="175">
        <f t="shared" si="2"/>
        <v>0</v>
      </c>
      <c r="V11" s="350"/>
      <c r="W11" s="149" t="s">
        <v>259</v>
      </c>
      <c r="X11" s="296">
        <v>42</v>
      </c>
      <c r="Y11" s="292">
        <f>ROUND($AL$1*X11/1000,0)</f>
        <v>3</v>
      </c>
      <c r="Z11" s="78" t="s">
        <v>47</v>
      </c>
      <c r="AA11" s="261"/>
      <c r="AB11" s="48"/>
      <c r="AC11" s="367"/>
      <c r="AD11" s="24" t="s">
        <v>36</v>
      </c>
      <c r="AE11" s="24">
        <v>30</v>
      </c>
      <c r="AF11" s="75">
        <f>ROUND($AF$1*AE11/1000,1)</f>
        <v>2.2</v>
      </c>
      <c r="AG11" s="27" t="s">
        <v>0</v>
      </c>
      <c r="AH11" s="261">
        <v>63</v>
      </c>
      <c r="AI11" s="175">
        <f t="shared" si="0"/>
        <v>138.60000000000002</v>
      </c>
      <c r="AO11" s="338"/>
      <c r="AP11" s="23" t="s">
        <v>194</v>
      </c>
      <c r="AQ11" s="23">
        <v>2</v>
      </c>
      <c r="AR11" s="75" t="s">
        <v>20</v>
      </c>
      <c r="AS11" s="75" t="s">
        <v>0</v>
      </c>
    </row>
    <row r="12" spans="1:45" s="40" customFormat="1" ht="18.75" customHeight="1">
      <c r="A12" s="338"/>
      <c r="B12" s="23"/>
      <c r="C12" s="23"/>
      <c r="D12" s="92"/>
      <c r="E12" s="92"/>
      <c r="F12" s="307"/>
      <c r="G12" s="52"/>
      <c r="H12" s="350"/>
      <c r="I12" s="291" t="s">
        <v>112</v>
      </c>
      <c r="J12" s="291">
        <v>10</v>
      </c>
      <c r="K12" s="292">
        <f>ROUND($AL$1*J12/1000,1)</f>
        <v>0.7</v>
      </c>
      <c r="L12" s="292" t="s">
        <v>0</v>
      </c>
      <c r="M12" s="307"/>
      <c r="N12" s="52">
        <f t="shared" si="1"/>
        <v>0</v>
      </c>
      <c r="O12" s="338"/>
      <c r="P12" s="23"/>
      <c r="Q12" s="23"/>
      <c r="R12" s="92"/>
      <c r="S12" s="97"/>
      <c r="T12" s="260"/>
      <c r="U12" s="175">
        <f t="shared" si="2"/>
        <v>0</v>
      </c>
      <c r="V12" s="350"/>
      <c r="W12" s="266" t="s">
        <v>196</v>
      </c>
      <c r="X12" s="267">
        <v>80</v>
      </c>
      <c r="Y12" s="292">
        <f>ROUND($AL$1*X12/1000,0)</f>
        <v>6</v>
      </c>
      <c r="Z12" s="78" t="s">
        <v>47</v>
      </c>
      <c r="AA12" s="261"/>
      <c r="AB12" s="48">
        <f t="shared" si="3"/>
        <v>0</v>
      </c>
      <c r="AC12" s="367"/>
      <c r="AD12" s="243"/>
      <c r="AE12" s="244"/>
      <c r="AF12" s="26"/>
      <c r="AG12" s="27"/>
      <c r="AH12" s="261"/>
      <c r="AI12" s="175"/>
      <c r="AO12" s="338"/>
      <c r="AP12" s="23" t="s">
        <v>204</v>
      </c>
      <c r="AQ12" s="23">
        <v>40</v>
      </c>
      <c r="AR12" s="23">
        <v>4</v>
      </c>
      <c r="AS12" s="23" t="s">
        <v>19</v>
      </c>
    </row>
    <row r="13" spans="1:45" s="50" customFormat="1" ht="18.75" customHeight="1">
      <c r="A13" s="338"/>
      <c r="B13" s="23"/>
      <c r="C13" s="23"/>
      <c r="D13" s="92"/>
      <c r="E13" s="92"/>
      <c r="F13" s="307"/>
      <c r="G13" s="52">
        <f t="shared" si="4"/>
        <v>0</v>
      </c>
      <c r="H13" s="350"/>
      <c r="I13" s="80" t="s">
        <v>134</v>
      </c>
      <c r="J13" s="293"/>
      <c r="K13" s="292" t="s">
        <v>20</v>
      </c>
      <c r="L13" s="292" t="s">
        <v>0</v>
      </c>
      <c r="M13" s="307"/>
      <c r="N13" s="52" t="e">
        <f t="shared" si="1"/>
        <v>#VALUE!</v>
      </c>
      <c r="O13" s="338"/>
      <c r="P13" s="23"/>
      <c r="Q13" s="23"/>
      <c r="R13" s="92"/>
      <c r="S13" s="97"/>
      <c r="T13" s="260"/>
      <c r="U13" s="175">
        <f t="shared" si="2"/>
        <v>0</v>
      </c>
      <c r="V13" s="350"/>
      <c r="W13" s="291"/>
      <c r="X13" s="291"/>
      <c r="Y13" s="292"/>
      <c r="Z13" s="292"/>
      <c r="AA13" s="261"/>
      <c r="AB13" s="48">
        <f t="shared" si="3"/>
        <v>0</v>
      </c>
      <c r="AC13" s="367"/>
      <c r="AD13" s="30"/>
      <c r="AE13" s="30"/>
      <c r="AF13" s="26"/>
      <c r="AG13" s="27"/>
      <c r="AH13" s="261"/>
      <c r="AI13" s="175">
        <f t="shared" si="0"/>
        <v>0</v>
      </c>
      <c r="AO13" s="338"/>
      <c r="AP13" s="188" t="s">
        <v>70</v>
      </c>
      <c r="AQ13" s="23">
        <v>5</v>
      </c>
      <c r="AR13" s="75">
        <f>ROUND($AF$1*AQ13/1000,1)</f>
        <v>0.4</v>
      </c>
      <c r="AS13" s="99" t="s">
        <v>0</v>
      </c>
    </row>
    <row r="14" spans="1:45" s="50" customFormat="1" ht="18.75" customHeight="1">
      <c r="A14" s="338"/>
      <c r="B14" s="23"/>
      <c r="C14" s="23"/>
      <c r="D14" s="92"/>
      <c r="E14" s="92"/>
      <c r="F14" s="307"/>
      <c r="G14" s="52">
        <f t="shared" si="4"/>
        <v>0</v>
      </c>
      <c r="H14" s="350"/>
      <c r="I14" s="293" t="s">
        <v>135</v>
      </c>
      <c r="J14" s="293">
        <v>1</v>
      </c>
      <c r="K14" s="292">
        <f>ROUND($AL$1*J14/1000,1)</f>
        <v>0.1</v>
      </c>
      <c r="L14" s="292" t="s">
        <v>0</v>
      </c>
      <c r="M14" s="307"/>
      <c r="N14" s="52">
        <f t="shared" si="1"/>
        <v>0</v>
      </c>
      <c r="O14" s="338"/>
      <c r="P14" s="23"/>
      <c r="Q14" s="23"/>
      <c r="R14" s="92"/>
      <c r="S14" s="97"/>
      <c r="T14" s="260"/>
      <c r="U14" s="175">
        <f t="shared" si="2"/>
        <v>0</v>
      </c>
      <c r="V14" s="350"/>
      <c r="W14" s="296"/>
      <c r="X14" s="296"/>
      <c r="Y14" s="292"/>
      <c r="Z14" s="292"/>
      <c r="AA14" s="261"/>
      <c r="AB14" s="48">
        <f t="shared" si="3"/>
        <v>0</v>
      </c>
      <c r="AC14" s="367"/>
      <c r="AD14" s="30"/>
      <c r="AE14" s="30"/>
      <c r="AF14" s="26"/>
      <c r="AG14" s="27"/>
      <c r="AH14" s="261"/>
      <c r="AI14" s="175">
        <f t="shared" si="0"/>
        <v>0</v>
      </c>
      <c r="AO14" s="338"/>
      <c r="AP14" s="188" t="s">
        <v>1</v>
      </c>
      <c r="AQ14" s="23">
        <v>10</v>
      </c>
      <c r="AR14" s="75">
        <f>ROUND($AF$1*AQ14/1000,1)</f>
        <v>0.7</v>
      </c>
      <c r="AS14" s="74" t="s">
        <v>0</v>
      </c>
    </row>
    <row r="15" spans="1:45" s="50" customFormat="1" ht="18.75" customHeight="1">
      <c r="A15" s="338"/>
      <c r="B15" s="23"/>
      <c r="C15" s="23"/>
      <c r="D15" s="92"/>
      <c r="E15" s="92"/>
      <c r="F15" s="307"/>
      <c r="G15" s="52">
        <f t="shared" si="4"/>
        <v>0</v>
      </c>
      <c r="H15" s="350"/>
      <c r="I15" s="293"/>
      <c r="J15" s="293"/>
      <c r="K15" s="292"/>
      <c r="L15" s="292"/>
      <c r="M15" s="307"/>
      <c r="N15" s="52">
        <f t="shared" si="1"/>
        <v>0</v>
      </c>
      <c r="O15" s="338"/>
      <c r="P15" s="23"/>
      <c r="Q15" s="23"/>
      <c r="R15" s="92"/>
      <c r="S15" s="97"/>
      <c r="T15" s="193"/>
      <c r="U15" s="175">
        <f t="shared" si="2"/>
        <v>0</v>
      </c>
      <c r="V15" s="350"/>
      <c r="W15" s="296"/>
      <c r="X15" s="296"/>
      <c r="Y15" s="292"/>
      <c r="Z15" s="292"/>
      <c r="AA15" s="193"/>
      <c r="AB15" s="48">
        <f t="shared" si="3"/>
        <v>0</v>
      </c>
      <c r="AC15" s="367"/>
      <c r="AD15" s="30"/>
      <c r="AE15" s="30"/>
      <c r="AF15" s="26"/>
      <c r="AG15" s="27"/>
      <c r="AH15" s="193"/>
      <c r="AI15" s="175">
        <f t="shared" si="0"/>
        <v>0</v>
      </c>
      <c r="AO15" s="338"/>
      <c r="AP15" s="188" t="s">
        <v>139</v>
      </c>
      <c r="AQ15" s="23">
        <v>10</v>
      </c>
      <c r="AR15" s="75">
        <f>ROUND($AF$1*AQ15/1000,1)</f>
        <v>0.7</v>
      </c>
      <c r="AS15" s="127" t="s">
        <v>0</v>
      </c>
    </row>
    <row r="16" spans="1:45" s="50" customFormat="1" ht="18.75" customHeight="1">
      <c r="A16" s="339" t="s">
        <v>38</v>
      </c>
      <c r="B16" s="339"/>
      <c r="C16" s="339"/>
      <c r="D16" s="339"/>
      <c r="E16" s="405"/>
      <c r="F16" s="308"/>
      <c r="G16" s="87"/>
      <c r="H16" s="384" t="s">
        <v>38</v>
      </c>
      <c r="I16" s="353"/>
      <c r="J16" s="353"/>
      <c r="K16" s="353"/>
      <c r="L16" s="353"/>
      <c r="M16" s="308"/>
      <c r="N16" s="88"/>
      <c r="O16" s="339"/>
      <c r="P16" s="339"/>
      <c r="Q16" s="339"/>
      <c r="R16" s="339"/>
      <c r="S16" s="339"/>
      <c r="T16" s="86"/>
      <c r="U16" s="88"/>
      <c r="V16" s="386" t="s">
        <v>38</v>
      </c>
      <c r="W16" s="386"/>
      <c r="X16" s="386"/>
      <c r="Y16" s="386"/>
      <c r="Z16" s="387"/>
      <c r="AA16" s="86"/>
      <c r="AB16" s="88"/>
      <c r="AC16" s="406" t="s">
        <v>38</v>
      </c>
      <c r="AD16" s="406"/>
      <c r="AE16" s="406"/>
      <c r="AF16" s="406"/>
      <c r="AG16" s="406"/>
      <c r="AH16" s="86"/>
      <c r="AI16" s="210"/>
      <c r="AO16" s="338"/>
      <c r="AP16" s="238"/>
      <c r="AQ16" s="238"/>
      <c r="AR16" s="239"/>
      <c r="AS16" s="239"/>
    </row>
    <row r="17" spans="1:45" s="50" customFormat="1" ht="18.75" customHeight="1">
      <c r="A17" s="388" t="s">
        <v>261</v>
      </c>
      <c r="B17" s="211" t="s">
        <v>1</v>
      </c>
      <c r="C17" s="291">
        <v>20</v>
      </c>
      <c r="D17" s="292">
        <f>ROUND($AF$1*C17/1000,1)</f>
        <v>1.5</v>
      </c>
      <c r="E17" s="292" t="s">
        <v>0</v>
      </c>
      <c r="F17" s="307"/>
      <c r="G17" s="52">
        <f aca="true" t="shared" si="5" ref="G17:G24">D17*F17</f>
        <v>0</v>
      </c>
      <c r="H17" s="360" t="s">
        <v>72</v>
      </c>
      <c r="I17" s="291" t="s">
        <v>12</v>
      </c>
      <c r="J17" s="294">
        <v>120</v>
      </c>
      <c r="K17" s="292">
        <f>ROUND($AL$1*J17/1000,0)</f>
        <v>9</v>
      </c>
      <c r="L17" s="295" t="s">
        <v>47</v>
      </c>
      <c r="M17" s="307"/>
      <c r="N17" s="52"/>
      <c r="O17" s="356"/>
      <c r="P17" s="29"/>
      <c r="Q17" s="29"/>
      <c r="R17" s="75"/>
      <c r="S17" s="74"/>
      <c r="T17" s="193"/>
      <c r="U17" s="175">
        <f t="shared" si="2"/>
        <v>0</v>
      </c>
      <c r="V17" s="391" t="s">
        <v>257</v>
      </c>
      <c r="W17" s="293" t="s">
        <v>76</v>
      </c>
      <c r="X17" s="293">
        <v>10</v>
      </c>
      <c r="Y17" s="292">
        <f>ROUND($AL$1*X17/1000,1)</f>
        <v>0.7</v>
      </c>
      <c r="Z17" s="97" t="s">
        <v>0</v>
      </c>
      <c r="AA17" s="193"/>
      <c r="AB17" s="48">
        <f t="shared" si="3"/>
        <v>0</v>
      </c>
      <c r="AC17" s="366" t="s">
        <v>41</v>
      </c>
      <c r="AD17" s="244" t="s">
        <v>58</v>
      </c>
      <c r="AE17" s="244">
        <v>41</v>
      </c>
      <c r="AF17" s="75">
        <f>ROUND($AF$1*AE17/1000,1)</f>
        <v>3</v>
      </c>
      <c r="AG17" s="245" t="s">
        <v>0</v>
      </c>
      <c r="AH17" s="193">
        <v>175</v>
      </c>
      <c r="AI17" s="175">
        <f t="shared" si="0"/>
        <v>525</v>
      </c>
      <c r="AO17" s="339" t="s">
        <v>38</v>
      </c>
      <c r="AP17" s="339"/>
      <c r="AQ17" s="339"/>
      <c r="AR17" s="339"/>
      <c r="AS17" s="339"/>
    </row>
    <row r="18" spans="1:45" s="50" customFormat="1" ht="18.75" customHeight="1">
      <c r="A18" s="389"/>
      <c r="B18" s="291" t="s">
        <v>254</v>
      </c>
      <c r="C18" s="291">
        <v>10</v>
      </c>
      <c r="D18" s="292">
        <f>ROUND($AF$1*C18/1000,1)</f>
        <v>0.7</v>
      </c>
      <c r="E18" s="292" t="s">
        <v>0</v>
      </c>
      <c r="F18" s="307"/>
      <c r="G18" s="52">
        <f t="shared" si="5"/>
        <v>0</v>
      </c>
      <c r="H18" s="361"/>
      <c r="I18" s="296" t="s">
        <v>249</v>
      </c>
      <c r="J18" s="297">
        <v>20</v>
      </c>
      <c r="K18" s="292">
        <f>ROUND($AL$1*J18/450,0)</f>
        <v>3</v>
      </c>
      <c r="L18" s="295" t="s">
        <v>21</v>
      </c>
      <c r="M18" s="307"/>
      <c r="N18" s="52"/>
      <c r="O18" s="357"/>
      <c r="P18" s="29"/>
      <c r="Q18" s="29"/>
      <c r="R18" s="75"/>
      <c r="S18" s="74"/>
      <c r="T18" s="193"/>
      <c r="U18" s="175">
        <f t="shared" si="2"/>
        <v>0</v>
      </c>
      <c r="V18" s="392"/>
      <c r="W18" s="291" t="s">
        <v>77</v>
      </c>
      <c r="X18" s="291">
        <v>10</v>
      </c>
      <c r="Y18" s="292">
        <f aca="true" t="shared" si="6" ref="Y18:Y23">ROUND($AL$1*X18/1000,1)</f>
        <v>0.7</v>
      </c>
      <c r="Z18" s="97" t="s">
        <v>0</v>
      </c>
      <c r="AA18" s="193"/>
      <c r="AB18" s="48"/>
      <c r="AC18" s="367"/>
      <c r="AD18" s="262" t="s">
        <v>17</v>
      </c>
      <c r="AE18" s="244">
        <v>41</v>
      </c>
      <c r="AF18" s="75">
        <f>ROUND($AF$1*AE18/1000,1)</f>
        <v>3</v>
      </c>
      <c r="AG18" s="27" t="s">
        <v>0</v>
      </c>
      <c r="AH18" s="193">
        <v>140</v>
      </c>
      <c r="AI18" s="175">
        <f t="shared" si="0"/>
        <v>420</v>
      </c>
      <c r="AO18" s="337" t="s">
        <v>89</v>
      </c>
      <c r="AP18" s="58" t="s">
        <v>163</v>
      </c>
      <c r="AQ18" s="29">
        <v>38</v>
      </c>
      <c r="AR18" s="75">
        <f>ROUND($AF$1*AQ18/1000,1)</f>
        <v>2.8</v>
      </c>
      <c r="AS18" s="74" t="s">
        <v>0</v>
      </c>
    </row>
    <row r="19" spans="1:45" s="50" customFormat="1" ht="18.75" customHeight="1">
      <c r="A19" s="389"/>
      <c r="B19" s="291" t="s">
        <v>70</v>
      </c>
      <c r="C19" s="291">
        <v>5</v>
      </c>
      <c r="D19" s="292">
        <f>ROUND($AF$1*C19/1000,1)</f>
        <v>0.4</v>
      </c>
      <c r="E19" s="292" t="s">
        <v>0</v>
      </c>
      <c r="F19" s="307"/>
      <c r="G19" s="52">
        <f t="shared" si="5"/>
        <v>0</v>
      </c>
      <c r="H19" s="361"/>
      <c r="I19" s="297" t="s">
        <v>250</v>
      </c>
      <c r="J19" s="297"/>
      <c r="K19" s="292"/>
      <c r="L19" s="295"/>
      <c r="M19" s="307"/>
      <c r="N19" s="52"/>
      <c r="O19" s="357"/>
      <c r="P19" s="29"/>
      <c r="Q19" s="29"/>
      <c r="R19" s="75"/>
      <c r="S19" s="74"/>
      <c r="T19" s="193"/>
      <c r="U19" s="175">
        <f t="shared" si="2"/>
        <v>0</v>
      </c>
      <c r="V19" s="392"/>
      <c r="W19" s="291" t="s">
        <v>256</v>
      </c>
      <c r="X19" s="291">
        <v>30</v>
      </c>
      <c r="Y19" s="292">
        <f t="shared" si="6"/>
        <v>2.2</v>
      </c>
      <c r="Z19" s="97" t="s">
        <v>0</v>
      </c>
      <c r="AA19" s="193"/>
      <c r="AB19" s="48">
        <f t="shared" si="3"/>
        <v>0</v>
      </c>
      <c r="AC19" s="367"/>
      <c r="AD19" s="243"/>
      <c r="AE19" s="244"/>
      <c r="AF19" s="312"/>
      <c r="AG19" s="27"/>
      <c r="AH19" s="193"/>
      <c r="AI19" s="175"/>
      <c r="AO19" s="338"/>
      <c r="AP19" s="58" t="s">
        <v>42</v>
      </c>
      <c r="AQ19" s="29">
        <v>38</v>
      </c>
      <c r="AR19" s="75">
        <f>ROUND($AF$1*AQ19/1000,1)</f>
        <v>2.8</v>
      </c>
      <c r="AS19" s="74" t="s">
        <v>0</v>
      </c>
    </row>
    <row r="20" spans="1:45" s="50" customFormat="1" ht="18.75" customHeight="1">
      <c r="A20" s="389"/>
      <c r="B20" s="291" t="s">
        <v>262</v>
      </c>
      <c r="C20" s="291">
        <v>5</v>
      </c>
      <c r="D20" s="292" t="s">
        <v>20</v>
      </c>
      <c r="E20" s="292" t="s">
        <v>0</v>
      </c>
      <c r="F20" s="307"/>
      <c r="G20" s="52" t="e">
        <f t="shared" si="5"/>
        <v>#VALUE!</v>
      </c>
      <c r="H20" s="361"/>
      <c r="I20" s="296"/>
      <c r="J20" s="293"/>
      <c r="K20" s="92"/>
      <c r="L20" s="92"/>
      <c r="M20" s="307"/>
      <c r="N20" s="52"/>
      <c r="O20" s="357"/>
      <c r="P20" s="29"/>
      <c r="Q20" s="29"/>
      <c r="R20" s="75"/>
      <c r="S20" s="74"/>
      <c r="T20" s="193"/>
      <c r="U20" s="175">
        <f t="shared" si="2"/>
        <v>0</v>
      </c>
      <c r="V20" s="392"/>
      <c r="W20" s="293" t="s">
        <v>150</v>
      </c>
      <c r="X20" s="293">
        <v>14</v>
      </c>
      <c r="Y20" s="292">
        <f t="shared" si="6"/>
        <v>1</v>
      </c>
      <c r="Z20" s="97" t="s">
        <v>0</v>
      </c>
      <c r="AA20" s="193"/>
      <c r="AB20" s="48">
        <f t="shared" si="3"/>
        <v>0</v>
      </c>
      <c r="AC20" s="367"/>
      <c r="AD20" s="24"/>
      <c r="AE20" s="24"/>
      <c r="AF20" s="246"/>
      <c r="AG20" s="247"/>
      <c r="AH20" s="193"/>
      <c r="AI20" s="175">
        <f t="shared" si="0"/>
        <v>0</v>
      </c>
      <c r="AO20" s="338"/>
      <c r="AP20" s="78" t="s">
        <v>16</v>
      </c>
      <c r="AQ20" s="29">
        <v>45</v>
      </c>
      <c r="AR20" s="75">
        <f>ROUND($AF$1*AQ20/1000,1)</f>
        <v>3.3</v>
      </c>
      <c r="AS20" s="74" t="s">
        <v>0</v>
      </c>
    </row>
    <row r="21" spans="1:45" s="50" customFormat="1" ht="18.75" customHeight="1">
      <c r="A21" s="389"/>
      <c r="B21" s="291" t="s">
        <v>116</v>
      </c>
      <c r="C21" s="291">
        <v>4</v>
      </c>
      <c r="D21" s="292">
        <f>ROUND($AF$1*C21/1000,1)</f>
        <v>0.3</v>
      </c>
      <c r="E21" s="292" t="s">
        <v>0</v>
      </c>
      <c r="F21" s="307"/>
      <c r="G21" s="52">
        <f t="shared" si="5"/>
        <v>0</v>
      </c>
      <c r="H21" s="361"/>
      <c r="I21" s="298"/>
      <c r="J21" s="78"/>
      <c r="K21" s="292"/>
      <c r="L21" s="295"/>
      <c r="M21" s="307"/>
      <c r="N21" s="52"/>
      <c r="O21" s="357"/>
      <c r="P21" s="29"/>
      <c r="Q21" s="29"/>
      <c r="R21" s="75"/>
      <c r="S21" s="74"/>
      <c r="T21" s="193"/>
      <c r="U21" s="175">
        <f t="shared" si="2"/>
        <v>0</v>
      </c>
      <c r="V21" s="392"/>
      <c r="W21" s="302" t="s">
        <v>64</v>
      </c>
      <c r="X21" s="291">
        <v>4</v>
      </c>
      <c r="Y21" s="292">
        <f t="shared" si="6"/>
        <v>0.3</v>
      </c>
      <c r="Z21" s="97" t="s">
        <v>0</v>
      </c>
      <c r="AA21" s="193"/>
      <c r="AB21" s="48">
        <f t="shared" si="3"/>
        <v>0</v>
      </c>
      <c r="AC21" s="367"/>
      <c r="AD21" s="266" t="s">
        <v>196</v>
      </c>
      <c r="AE21" s="267">
        <v>120</v>
      </c>
      <c r="AF21" s="292">
        <f>ROUND($AL$1*AE21/1000,0)</f>
        <v>9</v>
      </c>
      <c r="AG21" s="78" t="s">
        <v>47</v>
      </c>
      <c r="AH21" s="193">
        <v>90</v>
      </c>
      <c r="AI21" s="175">
        <f t="shared" si="0"/>
        <v>810</v>
      </c>
      <c r="AO21" s="338"/>
      <c r="AP21" s="162"/>
      <c r="AQ21" s="162"/>
      <c r="AR21" s="75"/>
      <c r="AS21" s="74"/>
    </row>
    <row r="22" spans="1:45" s="50" customFormat="1" ht="18.75" customHeight="1">
      <c r="A22" s="389"/>
      <c r="B22" s="291" t="s">
        <v>117</v>
      </c>
      <c r="C22" s="291">
        <v>13</v>
      </c>
      <c r="D22" s="292">
        <f>ROUND($AF$1*C22/300,0)</f>
        <v>3</v>
      </c>
      <c r="E22" s="304" t="s">
        <v>109</v>
      </c>
      <c r="F22" s="309"/>
      <c r="G22" s="52">
        <f t="shared" si="5"/>
        <v>0</v>
      </c>
      <c r="H22" s="361"/>
      <c r="I22" s="156"/>
      <c r="J22" s="156"/>
      <c r="K22" s="92"/>
      <c r="L22" s="97"/>
      <c r="M22" s="309"/>
      <c r="N22" s="52">
        <f>K22*M22</f>
        <v>0</v>
      </c>
      <c r="O22" s="357"/>
      <c r="P22" s="23"/>
      <c r="Q22" s="23"/>
      <c r="R22" s="75"/>
      <c r="S22" s="74"/>
      <c r="T22" s="193"/>
      <c r="U22" s="175">
        <f t="shared" si="2"/>
        <v>0</v>
      </c>
      <c r="V22" s="392"/>
      <c r="W22" s="302" t="s">
        <v>101</v>
      </c>
      <c r="X22" s="291">
        <v>4</v>
      </c>
      <c r="Y22" s="292">
        <f t="shared" si="6"/>
        <v>0.3</v>
      </c>
      <c r="Z22" s="97" t="s">
        <v>18</v>
      </c>
      <c r="AA22" s="193"/>
      <c r="AB22" s="48">
        <f t="shared" si="3"/>
        <v>0</v>
      </c>
      <c r="AC22" s="367"/>
      <c r="AD22" s="269"/>
      <c r="AE22" s="156"/>
      <c r="AF22" s="92"/>
      <c r="AG22" s="97"/>
      <c r="AH22" s="193"/>
      <c r="AI22" s="175"/>
      <c r="AO22" s="338"/>
      <c r="AP22" s="60" t="s">
        <v>12</v>
      </c>
      <c r="AQ22" s="52">
        <v>133</v>
      </c>
      <c r="AR22" s="52">
        <v>4</v>
      </c>
      <c r="AS22" s="61" t="s">
        <v>47</v>
      </c>
    </row>
    <row r="23" spans="1:45" s="50" customFormat="1" ht="18.75" customHeight="1">
      <c r="A23" s="389"/>
      <c r="B23" s="298" t="s">
        <v>138</v>
      </c>
      <c r="C23" s="291">
        <v>40.5</v>
      </c>
      <c r="D23" s="292">
        <f>ROUND($AF$1*C23/1000,0)</f>
        <v>3</v>
      </c>
      <c r="E23" s="58" t="s">
        <v>0</v>
      </c>
      <c r="F23" s="307"/>
      <c r="G23" s="52">
        <f t="shared" si="5"/>
        <v>0</v>
      </c>
      <c r="H23" s="361"/>
      <c r="I23" s="156"/>
      <c r="J23" s="156"/>
      <c r="K23" s="92"/>
      <c r="L23" s="97"/>
      <c r="M23" s="307"/>
      <c r="N23" s="52">
        <f>K23*M23</f>
        <v>0</v>
      </c>
      <c r="O23" s="357"/>
      <c r="P23" s="23"/>
      <c r="Q23" s="23"/>
      <c r="R23" s="92"/>
      <c r="S23" s="97"/>
      <c r="T23" s="193"/>
      <c r="U23" s="175">
        <f t="shared" si="2"/>
        <v>0</v>
      </c>
      <c r="V23" s="392"/>
      <c r="W23" s="266" t="s">
        <v>196</v>
      </c>
      <c r="X23" s="267">
        <v>14</v>
      </c>
      <c r="Y23" s="292">
        <f t="shared" si="6"/>
        <v>1</v>
      </c>
      <c r="Z23" s="78" t="s">
        <v>47</v>
      </c>
      <c r="AA23" s="193"/>
      <c r="AB23" s="48">
        <f t="shared" si="3"/>
        <v>0</v>
      </c>
      <c r="AC23" s="367"/>
      <c r="AD23" s="24"/>
      <c r="AE23" s="24"/>
      <c r="AF23" s="246"/>
      <c r="AG23" s="247"/>
      <c r="AH23" s="193"/>
      <c r="AI23" s="175">
        <f t="shared" si="0"/>
        <v>0</v>
      </c>
      <c r="AO23" s="338"/>
      <c r="AP23" s="162"/>
      <c r="AQ23" s="162"/>
      <c r="AR23" s="75"/>
      <c r="AS23" s="74"/>
    </row>
    <row r="24" spans="1:45" s="50" customFormat="1" ht="18.75" customHeight="1" thickBot="1">
      <c r="A24" s="390"/>
      <c r="B24" s="78" t="s">
        <v>260</v>
      </c>
      <c r="C24" s="297">
        <v>54</v>
      </c>
      <c r="D24" s="292">
        <f>ROUND($AF$1*C24/1000,1)</f>
        <v>4</v>
      </c>
      <c r="E24" s="292" t="s">
        <v>0</v>
      </c>
      <c r="F24" s="310"/>
      <c r="G24" s="165">
        <f t="shared" si="5"/>
        <v>0</v>
      </c>
      <c r="H24" s="362"/>
      <c r="I24" s="299" t="s">
        <v>58</v>
      </c>
      <c r="J24" s="58">
        <v>49</v>
      </c>
      <c r="K24" s="292">
        <f>ROUND($AL$1*J24/1000,1)</f>
        <v>3.6</v>
      </c>
      <c r="L24" s="97" t="s">
        <v>0</v>
      </c>
      <c r="M24" s="310"/>
      <c r="N24" s="165">
        <f>K24*M24</f>
        <v>0</v>
      </c>
      <c r="O24" s="357"/>
      <c r="P24" s="23"/>
      <c r="Q24" s="23"/>
      <c r="R24" s="92"/>
      <c r="S24" s="97"/>
      <c r="T24" s="193"/>
      <c r="U24" s="175">
        <f t="shared" si="2"/>
        <v>0</v>
      </c>
      <c r="V24" s="393"/>
      <c r="W24" s="298" t="s">
        <v>255</v>
      </c>
      <c r="X24" s="58">
        <v>1</v>
      </c>
      <c r="Y24" s="292">
        <f>ROUND($AL$1*X24,1)</f>
        <v>74</v>
      </c>
      <c r="Z24" s="295" t="s">
        <v>74</v>
      </c>
      <c r="AA24" s="193"/>
      <c r="AB24" s="48">
        <f t="shared" si="3"/>
        <v>0</v>
      </c>
      <c r="AC24" s="368"/>
      <c r="AD24" s="24"/>
      <c r="AE24" s="24"/>
      <c r="AF24" s="246"/>
      <c r="AG24" s="247"/>
      <c r="AH24" s="193"/>
      <c r="AI24" s="175">
        <f t="shared" si="0"/>
        <v>0</v>
      </c>
      <c r="AO24" s="338"/>
      <c r="AP24" s="162"/>
      <c r="AQ24" s="162"/>
      <c r="AR24" s="75"/>
      <c r="AS24" s="74"/>
    </row>
    <row r="25" spans="1:45" s="40" customFormat="1" ht="18.75" customHeight="1" thickBot="1">
      <c r="A25" s="394" t="s">
        <v>79</v>
      </c>
      <c r="B25" s="101" t="s">
        <v>80</v>
      </c>
      <c r="C25" s="343">
        <v>2.8</v>
      </c>
      <c r="D25" s="343"/>
      <c r="E25" s="344"/>
      <c r="F25" s="399" t="e">
        <f>SUM(G6:G24)</f>
        <v>#VALUE!</v>
      </c>
      <c r="G25" s="371"/>
      <c r="H25" s="407" t="s">
        <v>79</v>
      </c>
      <c r="I25" s="101" t="s">
        <v>80</v>
      </c>
      <c r="J25" s="343">
        <v>2.5</v>
      </c>
      <c r="K25" s="343"/>
      <c r="L25" s="344"/>
      <c r="M25" s="383" t="e">
        <f>SUM(N6:N24)</f>
        <v>#VALUE!</v>
      </c>
      <c r="N25" s="371"/>
      <c r="O25" s="394"/>
      <c r="P25" s="101"/>
      <c r="Q25" s="343"/>
      <c r="R25" s="343"/>
      <c r="S25" s="344"/>
      <c r="T25" s="397">
        <f>SUM(U6:U24)</f>
        <v>0</v>
      </c>
      <c r="U25" s="371"/>
      <c r="V25" s="400" t="s">
        <v>79</v>
      </c>
      <c r="W25" s="101" t="s">
        <v>80</v>
      </c>
      <c r="X25" s="343">
        <v>2.5</v>
      </c>
      <c r="Y25" s="343"/>
      <c r="Z25" s="344"/>
      <c r="AA25" s="370">
        <f>SUM(AB6:AB24)</f>
        <v>0</v>
      </c>
      <c r="AB25" s="371"/>
      <c r="AC25" s="378" t="s">
        <v>79</v>
      </c>
      <c r="AD25" s="248" t="s">
        <v>80</v>
      </c>
      <c r="AE25" s="403">
        <v>2</v>
      </c>
      <c r="AF25" s="403"/>
      <c r="AG25" s="404"/>
      <c r="AH25" s="397">
        <f>SUM(AI6:AI24)</f>
        <v>2622.5</v>
      </c>
      <c r="AI25" s="398"/>
      <c r="AJ25" s="128">
        <f>(AE25+C25+J25+Q25+X25)/4</f>
        <v>2.45</v>
      </c>
      <c r="AO25" s="338"/>
      <c r="AP25" s="163"/>
      <c r="AQ25" s="163"/>
      <c r="AR25" s="151"/>
      <c r="AS25" s="164"/>
    </row>
    <row r="26" spans="1:45" s="40" customFormat="1" ht="18.75" customHeight="1">
      <c r="A26" s="395"/>
      <c r="B26" s="103" t="s">
        <v>81</v>
      </c>
      <c r="C26" s="345">
        <v>0.5</v>
      </c>
      <c r="D26" s="345"/>
      <c r="E26" s="346"/>
      <c r="F26" s="104"/>
      <c r="G26" s="105"/>
      <c r="H26" s="408"/>
      <c r="I26" s="103" t="s">
        <v>81</v>
      </c>
      <c r="J26" s="345">
        <v>0.5</v>
      </c>
      <c r="K26" s="345"/>
      <c r="L26" s="346"/>
      <c r="M26" s="106"/>
      <c r="N26" s="105"/>
      <c r="O26" s="395"/>
      <c r="P26" s="103"/>
      <c r="Q26" s="345"/>
      <c r="R26" s="345"/>
      <c r="S26" s="346"/>
      <c r="T26" s="241"/>
      <c r="U26" s="105"/>
      <c r="V26" s="401"/>
      <c r="W26" s="103" t="s">
        <v>81</v>
      </c>
      <c r="X26" s="345">
        <v>0.8</v>
      </c>
      <c r="Y26" s="345"/>
      <c r="Z26" s="346"/>
      <c r="AA26" s="203"/>
      <c r="AB26" s="105"/>
      <c r="AC26" s="379"/>
      <c r="AD26" s="249" t="s">
        <v>81</v>
      </c>
      <c r="AE26" s="374">
        <v>0.5</v>
      </c>
      <c r="AF26" s="374"/>
      <c r="AG26" s="375"/>
      <c r="AH26" s="109"/>
      <c r="AI26" s="110"/>
      <c r="AJ26" s="128">
        <f aca="true" t="shared" si="7" ref="AJ26:AJ31">(AE26+C26+J26+Q26+X26)/4</f>
        <v>0.575</v>
      </c>
      <c r="AO26" s="340" t="s">
        <v>79</v>
      </c>
      <c r="AP26" s="166" t="s">
        <v>80</v>
      </c>
      <c r="AQ26" s="343">
        <v>2</v>
      </c>
      <c r="AR26" s="343"/>
      <c r="AS26" s="344"/>
    </row>
    <row r="27" spans="1:45" s="40" customFormat="1" ht="18.75" customHeight="1">
      <c r="A27" s="395"/>
      <c r="B27" s="111" t="s">
        <v>84</v>
      </c>
      <c r="C27" s="345">
        <v>0.4</v>
      </c>
      <c r="D27" s="345"/>
      <c r="E27" s="346"/>
      <c r="F27" s="104"/>
      <c r="G27" s="105"/>
      <c r="H27" s="408"/>
      <c r="I27" s="111" t="s">
        <v>84</v>
      </c>
      <c r="J27" s="345">
        <v>0.5</v>
      </c>
      <c r="K27" s="345"/>
      <c r="L27" s="346"/>
      <c r="M27" s="106"/>
      <c r="N27" s="105"/>
      <c r="O27" s="395"/>
      <c r="P27" s="111"/>
      <c r="Q27" s="345"/>
      <c r="R27" s="345"/>
      <c r="S27" s="346"/>
      <c r="T27" s="241"/>
      <c r="U27" s="105"/>
      <c r="V27" s="401"/>
      <c r="W27" s="111" t="s">
        <v>84</v>
      </c>
      <c r="X27" s="345">
        <v>0.2</v>
      </c>
      <c r="Y27" s="345"/>
      <c r="Z27" s="346"/>
      <c r="AA27" s="203"/>
      <c r="AB27" s="105"/>
      <c r="AC27" s="379"/>
      <c r="AD27" s="249" t="s">
        <v>84</v>
      </c>
      <c r="AE27" s="374">
        <v>0.2</v>
      </c>
      <c r="AF27" s="374"/>
      <c r="AG27" s="375"/>
      <c r="AH27" s="109"/>
      <c r="AI27" s="110"/>
      <c r="AJ27" s="128">
        <f t="shared" si="7"/>
        <v>0.325</v>
      </c>
      <c r="AO27" s="341"/>
      <c r="AP27" s="167" t="s">
        <v>81</v>
      </c>
      <c r="AQ27" s="345">
        <v>0.5</v>
      </c>
      <c r="AR27" s="345"/>
      <c r="AS27" s="346"/>
    </row>
    <row r="28" spans="1:45" s="40" customFormat="1" ht="18.75" customHeight="1">
      <c r="A28" s="395"/>
      <c r="B28" s="112" t="s">
        <v>82</v>
      </c>
      <c r="C28" s="345">
        <v>0.5</v>
      </c>
      <c r="D28" s="345"/>
      <c r="E28" s="346"/>
      <c r="F28" s="104"/>
      <c r="G28" s="105"/>
      <c r="H28" s="408"/>
      <c r="I28" s="112" t="s">
        <v>82</v>
      </c>
      <c r="J28" s="345">
        <v>0.5</v>
      </c>
      <c r="K28" s="345"/>
      <c r="L28" s="346"/>
      <c r="M28" s="106"/>
      <c r="N28" s="105"/>
      <c r="O28" s="395"/>
      <c r="P28" s="112"/>
      <c r="Q28" s="345"/>
      <c r="R28" s="345"/>
      <c r="S28" s="346"/>
      <c r="T28" s="241"/>
      <c r="U28" s="105"/>
      <c r="V28" s="401"/>
      <c r="W28" s="112" t="s">
        <v>83</v>
      </c>
      <c r="X28" s="345">
        <v>0.5</v>
      </c>
      <c r="Y28" s="345"/>
      <c r="Z28" s="346"/>
      <c r="AA28" s="203"/>
      <c r="AB28" s="105"/>
      <c r="AC28" s="379"/>
      <c r="AD28" s="250" t="s">
        <v>82</v>
      </c>
      <c r="AE28" s="374">
        <v>0.5</v>
      </c>
      <c r="AF28" s="374"/>
      <c r="AG28" s="375"/>
      <c r="AH28" s="109"/>
      <c r="AI28" s="110"/>
      <c r="AJ28" s="128">
        <f t="shared" si="7"/>
        <v>0.5</v>
      </c>
      <c r="AO28" s="341"/>
      <c r="AP28" s="168" t="s">
        <v>84</v>
      </c>
      <c r="AQ28" s="345">
        <v>0.5</v>
      </c>
      <c r="AR28" s="345"/>
      <c r="AS28" s="346"/>
    </row>
    <row r="29" spans="1:45" s="40" customFormat="1" ht="18.75" customHeight="1">
      <c r="A29" s="395"/>
      <c r="B29" s="103" t="s">
        <v>85</v>
      </c>
      <c r="C29" s="345">
        <v>0.4</v>
      </c>
      <c r="D29" s="345"/>
      <c r="E29" s="346"/>
      <c r="F29" s="104"/>
      <c r="G29" s="105"/>
      <c r="H29" s="408"/>
      <c r="I29" s="103" t="s">
        <v>85</v>
      </c>
      <c r="J29" s="345">
        <v>0.4</v>
      </c>
      <c r="K29" s="345"/>
      <c r="L29" s="346"/>
      <c r="M29" s="106"/>
      <c r="N29" s="105"/>
      <c r="O29" s="395"/>
      <c r="P29" s="103"/>
      <c r="Q29" s="345"/>
      <c r="R29" s="345"/>
      <c r="S29" s="346"/>
      <c r="T29" s="241"/>
      <c r="U29" s="105"/>
      <c r="V29" s="401"/>
      <c r="W29" s="103" t="s">
        <v>85</v>
      </c>
      <c r="X29" s="345">
        <v>1</v>
      </c>
      <c r="Y29" s="345"/>
      <c r="Z29" s="346"/>
      <c r="AA29" s="203"/>
      <c r="AB29" s="105"/>
      <c r="AC29" s="379"/>
      <c r="AD29" s="249" t="s">
        <v>85</v>
      </c>
      <c r="AE29" s="374">
        <v>1</v>
      </c>
      <c r="AF29" s="374"/>
      <c r="AG29" s="375"/>
      <c r="AH29" s="109"/>
      <c r="AI29" s="110"/>
      <c r="AJ29" s="128">
        <f t="shared" si="7"/>
        <v>0.7</v>
      </c>
      <c r="AO29" s="341"/>
      <c r="AP29" s="169" t="s">
        <v>83</v>
      </c>
      <c r="AQ29" s="345">
        <v>0.5</v>
      </c>
      <c r="AR29" s="345"/>
      <c r="AS29" s="346"/>
    </row>
    <row r="30" spans="1:45" s="40" customFormat="1" ht="18.75" customHeight="1">
      <c r="A30" s="395"/>
      <c r="B30" s="103" t="s">
        <v>86</v>
      </c>
      <c r="C30" s="345">
        <v>0.6</v>
      </c>
      <c r="D30" s="345"/>
      <c r="E30" s="346"/>
      <c r="F30" s="104"/>
      <c r="G30" s="105"/>
      <c r="H30" s="408"/>
      <c r="I30" s="103" t="s">
        <v>86</v>
      </c>
      <c r="J30" s="345">
        <v>0.6</v>
      </c>
      <c r="K30" s="345"/>
      <c r="L30" s="346"/>
      <c r="M30" s="113"/>
      <c r="N30" s="105"/>
      <c r="O30" s="395"/>
      <c r="P30" s="103"/>
      <c r="Q30" s="345"/>
      <c r="R30" s="345"/>
      <c r="S30" s="346"/>
      <c r="T30" s="241"/>
      <c r="U30" s="105"/>
      <c r="V30" s="401"/>
      <c r="W30" s="103" t="s">
        <v>86</v>
      </c>
      <c r="X30" s="345">
        <v>0.4</v>
      </c>
      <c r="Y30" s="345"/>
      <c r="Z30" s="346"/>
      <c r="AA30" s="203"/>
      <c r="AB30" s="105"/>
      <c r="AC30" s="379"/>
      <c r="AD30" s="249" t="s">
        <v>86</v>
      </c>
      <c r="AE30" s="374">
        <v>0.6</v>
      </c>
      <c r="AF30" s="374"/>
      <c r="AG30" s="375"/>
      <c r="AH30" s="109"/>
      <c r="AI30" s="110"/>
      <c r="AJ30" s="128">
        <f t="shared" si="7"/>
        <v>0.5499999999999999</v>
      </c>
      <c r="AO30" s="341"/>
      <c r="AP30" s="167" t="s">
        <v>85</v>
      </c>
      <c r="AQ30" s="345">
        <v>1</v>
      </c>
      <c r="AR30" s="345"/>
      <c r="AS30" s="346"/>
    </row>
    <row r="31" spans="1:45" s="40" customFormat="1" ht="18.75" customHeight="1" thickBot="1">
      <c r="A31" s="396"/>
      <c r="B31" s="114" t="s">
        <v>87</v>
      </c>
      <c r="C31" s="335">
        <f>C25*70+C26*75+C27*25+C28*45+C30*120+C29*60</f>
        <v>362</v>
      </c>
      <c r="D31" s="335"/>
      <c r="E31" s="336"/>
      <c r="F31" s="115"/>
      <c r="G31" s="116"/>
      <c r="H31" s="409"/>
      <c r="I31" s="114" t="s">
        <v>87</v>
      </c>
      <c r="J31" s="335">
        <f>J25*70+J26*75+J27*25+J28*45+J30*120+J29*60</f>
        <v>343.5</v>
      </c>
      <c r="K31" s="335"/>
      <c r="L31" s="336"/>
      <c r="M31" s="117"/>
      <c r="N31" s="116"/>
      <c r="O31" s="396"/>
      <c r="P31" s="114"/>
      <c r="Q31" s="335"/>
      <c r="R31" s="335"/>
      <c r="S31" s="336"/>
      <c r="T31" s="242"/>
      <c r="U31" s="116"/>
      <c r="V31" s="402"/>
      <c r="W31" s="114" t="s">
        <v>87</v>
      </c>
      <c r="X31" s="335">
        <f>X25*70+X26*75+X27*25+X28*45+X30*120+X29*60</f>
        <v>370.5</v>
      </c>
      <c r="Y31" s="335"/>
      <c r="Z31" s="336"/>
      <c r="AA31" s="204"/>
      <c r="AB31" s="116"/>
      <c r="AC31" s="380"/>
      <c r="AD31" s="251" t="s">
        <v>87</v>
      </c>
      <c r="AE31" s="376">
        <f>AE25*70+AE26*75+AE27*25+AE28*45+AE30*120+AE29*60</f>
        <v>337</v>
      </c>
      <c r="AF31" s="376"/>
      <c r="AG31" s="377"/>
      <c r="AH31" s="120"/>
      <c r="AI31" s="121"/>
      <c r="AJ31" s="128">
        <f t="shared" si="7"/>
        <v>353.25</v>
      </c>
      <c r="AO31" s="341"/>
      <c r="AP31" s="167" t="s">
        <v>86</v>
      </c>
      <c r="AQ31" s="345">
        <v>0.6</v>
      </c>
      <c r="AR31" s="345"/>
      <c r="AS31" s="346"/>
    </row>
    <row r="32" spans="1:45" s="50" customFormat="1" ht="18.75" customHeight="1" thickBot="1">
      <c r="A32" s="81"/>
      <c r="B32" s="82"/>
      <c r="C32" s="82"/>
      <c r="D32" s="122"/>
      <c r="E32" s="122"/>
      <c r="F32" s="83"/>
      <c r="G32" s="82"/>
      <c r="M32" s="83"/>
      <c r="N32" s="82"/>
      <c r="O32" s="85"/>
      <c r="P32" s="81"/>
      <c r="Q32" s="81"/>
      <c r="R32" s="89"/>
      <c r="S32" s="89"/>
      <c r="T32" s="83"/>
      <c r="U32" s="82"/>
      <c r="V32" s="84"/>
      <c r="W32" s="81"/>
      <c r="X32" s="81"/>
      <c r="Y32" s="89"/>
      <c r="Z32" s="89"/>
      <c r="AA32" s="83"/>
      <c r="AB32" s="82"/>
      <c r="AC32" s="81"/>
      <c r="AD32" s="82"/>
      <c r="AE32" s="82"/>
      <c r="AF32" s="122"/>
      <c r="AG32" s="122"/>
      <c r="AH32" s="83"/>
      <c r="AI32" s="82"/>
      <c r="AO32" s="342"/>
      <c r="AP32" s="170" t="s">
        <v>87</v>
      </c>
      <c r="AQ32" s="335">
        <f>AQ26*70+AQ27*75+AQ28*25+AQ29*45+AQ31*120+AQ30*60</f>
        <v>344.5</v>
      </c>
      <c r="AR32" s="335"/>
      <c r="AS32" s="336"/>
    </row>
    <row r="33" spans="1:48" s="50" customFormat="1" ht="19.5" customHeight="1">
      <c r="A33" s="373" t="s">
        <v>50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123"/>
      <c r="AJ33" s="64"/>
      <c r="AK33" s="64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</row>
    <row r="34" spans="1:48" s="50" customFormat="1" ht="22.5" customHeight="1">
      <c r="A34" s="385" t="s">
        <v>61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124"/>
      <c r="AJ34" s="66"/>
      <c r="AK34" s="66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</row>
  </sheetData>
  <sheetProtection selectLockedCells="1" selectUnlockedCells="1"/>
  <mergeCells count="95">
    <mergeCell ref="C25:E25"/>
    <mergeCell ref="A6:A15"/>
    <mergeCell ref="A16:E16"/>
    <mergeCell ref="AC6:AC15"/>
    <mergeCell ref="AC16:AG16"/>
    <mergeCell ref="C27:E27"/>
    <mergeCell ref="J26:L26"/>
    <mergeCell ref="Q26:S26"/>
    <mergeCell ref="H25:H31"/>
    <mergeCell ref="C29:E29"/>
    <mergeCell ref="Q31:S31"/>
    <mergeCell ref="X31:Z31"/>
    <mergeCell ref="X27:Z27"/>
    <mergeCell ref="X30:Z30"/>
    <mergeCell ref="X26:Z26"/>
    <mergeCell ref="C28:E28"/>
    <mergeCell ref="C31:E31"/>
    <mergeCell ref="C30:E30"/>
    <mergeCell ref="J30:L30"/>
    <mergeCell ref="J28:L28"/>
    <mergeCell ref="Q28:S28"/>
    <mergeCell ref="J29:L29"/>
    <mergeCell ref="Q29:S29"/>
    <mergeCell ref="Q30:S30"/>
    <mergeCell ref="AE27:AG27"/>
    <mergeCell ref="AE28:AG28"/>
    <mergeCell ref="F25:G25"/>
    <mergeCell ref="AE26:AG26"/>
    <mergeCell ref="Q25:S25"/>
    <mergeCell ref="X29:Z29"/>
    <mergeCell ref="V25:V31"/>
    <mergeCell ref="J31:L31"/>
    <mergeCell ref="T25:U25"/>
    <mergeCell ref="Q27:S27"/>
    <mergeCell ref="AE30:AG30"/>
    <mergeCell ref="X28:Z28"/>
    <mergeCell ref="A34:AH34"/>
    <mergeCell ref="A5:E5"/>
    <mergeCell ref="O16:S16"/>
    <mergeCell ref="V16:Z16"/>
    <mergeCell ref="A17:A24"/>
    <mergeCell ref="V17:V24"/>
    <mergeCell ref="J27:L27"/>
    <mergeCell ref="A25:A31"/>
    <mergeCell ref="AH25:AI25"/>
    <mergeCell ref="O25:O31"/>
    <mergeCell ref="A33:AH33"/>
    <mergeCell ref="AE29:AG29"/>
    <mergeCell ref="AE31:AG31"/>
    <mergeCell ref="AC25:AC31"/>
    <mergeCell ref="C26:E26"/>
    <mergeCell ref="A2:A4"/>
    <mergeCell ref="B2:E2"/>
    <mergeCell ref="J25:L25"/>
    <mergeCell ref="M25:N25"/>
    <mergeCell ref="H16:L16"/>
    <mergeCell ref="AC17:AC24"/>
    <mergeCell ref="P2:S2"/>
    <mergeCell ref="V2:V4"/>
    <mergeCell ref="AA25:AB25"/>
    <mergeCell ref="AC2:AC4"/>
    <mergeCell ref="AD2:AG2"/>
    <mergeCell ref="P4:S4"/>
    <mergeCell ref="AE25:AG25"/>
    <mergeCell ref="X25:Z25"/>
    <mergeCell ref="O17:O24"/>
    <mergeCell ref="H5:L5"/>
    <mergeCell ref="O5:S5"/>
    <mergeCell ref="H2:H4"/>
    <mergeCell ref="W4:Z4"/>
    <mergeCell ref="V5:Z5"/>
    <mergeCell ref="H17:H24"/>
    <mergeCell ref="W2:Z2"/>
    <mergeCell ref="I2:L2"/>
    <mergeCell ref="O2:O4"/>
    <mergeCell ref="AQ31:AS31"/>
    <mergeCell ref="A1:L1"/>
    <mergeCell ref="P1:AD1"/>
    <mergeCell ref="H6:H15"/>
    <mergeCell ref="O6:O15"/>
    <mergeCell ref="V6:V15"/>
    <mergeCell ref="AD4:AG4"/>
    <mergeCell ref="AC5:AG5"/>
    <mergeCell ref="B4:E4"/>
    <mergeCell ref="I4:L4"/>
    <mergeCell ref="AQ32:AS32"/>
    <mergeCell ref="AO7:AO16"/>
    <mergeCell ref="AO17:AS17"/>
    <mergeCell ref="AO18:AO25"/>
    <mergeCell ref="AO26:AO32"/>
    <mergeCell ref="AQ26:AS26"/>
    <mergeCell ref="AQ27:AS27"/>
    <mergeCell ref="AQ28:AS28"/>
    <mergeCell ref="AQ29:AS29"/>
    <mergeCell ref="AQ30:AS30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BI52"/>
  <sheetViews>
    <sheetView zoomScale="75" zoomScaleNormal="75" zoomScaleSheetLayoutView="85" zoomScalePageLayoutView="0" workbookViewId="0" topLeftCell="A8">
      <selection activeCell="AH1" sqref="AH1:AI16384"/>
    </sheetView>
  </sheetViews>
  <sheetFormatPr defaultColWidth="6.125" defaultRowHeight="22.5" customHeight="1"/>
  <cols>
    <col min="1" max="1" width="3.75390625" style="67" customWidth="1"/>
    <col min="2" max="2" width="18.375" style="68" customWidth="1"/>
    <col min="3" max="3" width="5.25390625" style="68" hidden="1" customWidth="1"/>
    <col min="4" max="5" width="5.625" style="68" customWidth="1"/>
    <col min="6" max="6" width="6.125" style="69" hidden="1" customWidth="1"/>
    <col min="7" max="7" width="6.125" style="70" hidden="1" customWidth="1"/>
    <col min="8" max="8" width="3.625" style="67" customWidth="1"/>
    <col min="9" max="9" width="21.25390625" style="68" customWidth="1"/>
    <col min="10" max="10" width="6.125" style="68" hidden="1" customWidth="1"/>
    <col min="11" max="12" width="5.625" style="68" customWidth="1"/>
    <col min="13" max="13" width="6.125" style="69" hidden="1" customWidth="1"/>
    <col min="14" max="14" width="10.125" style="70" hidden="1" customWidth="1"/>
    <col min="15" max="15" width="3.875" style="67" customWidth="1"/>
    <col min="16" max="16" width="16.375" style="68" customWidth="1"/>
    <col min="17" max="17" width="6.125" style="68" hidden="1" customWidth="1"/>
    <col min="18" max="19" width="5.625" style="68" customWidth="1"/>
    <col min="20" max="20" width="6.125" style="69" hidden="1" customWidth="1"/>
    <col min="21" max="21" width="6.125" style="70" hidden="1" customWidth="1"/>
    <col min="22" max="22" width="3.625" style="71" customWidth="1"/>
    <col min="23" max="23" width="16.125" style="68" customWidth="1"/>
    <col min="24" max="24" width="6.125" style="68" hidden="1" customWidth="1"/>
    <col min="25" max="26" width="5.625" style="68" customWidth="1"/>
    <col min="27" max="27" width="6.125" style="69" hidden="1" customWidth="1"/>
    <col min="28" max="28" width="6.125" style="70" hidden="1" customWidth="1"/>
    <col min="29" max="29" width="4.125" style="67" customWidth="1"/>
    <col min="30" max="30" width="16.125" style="68" customWidth="1"/>
    <col min="31" max="31" width="6.125" style="68" hidden="1" customWidth="1"/>
    <col min="32" max="33" width="5.625" style="68" customWidth="1"/>
    <col min="34" max="34" width="6.125" style="72" hidden="1" customWidth="1"/>
    <col min="35" max="35" width="6.125" style="70" hidden="1" customWidth="1"/>
    <col min="36" max="36" width="10.375" style="73" customWidth="1"/>
    <col min="37" max="45" width="6.125" style="73" customWidth="1"/>
    <col min="46" max="47" width="6.25390625" style="73" bestFit="1" customWidth="1"/>
    <col min="48" max="48" width="6.125" style="73" customWidth="1"/>
    <col min="49" max="49" width="6.25390625" style="73" bestFit="1" customWidth="1"/>
    <col min="50" max="50" width="10.875" style="73" bestFit="1" customWidth="1"/>
    <col min="51" max="16384" width="6.125" style="73" customWidth="1"/>
  </cols>
  <sheetData>
    <row r="1" spans="1:35" s="91" customFormat="1" ht="30" customHeight="1">
      <c r="A1" s="347" t="str">
        <f>'第一周'!A1</f>
        <v>僑愛國民小學112學年度下學期第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227"/>
      <c r="N1" s="227"/>
      <c r="O1" s="214">
        <f>'第一周'!O1+1</f>
        <v>4</v>
      </c>
      <c r="P1" s="348" t="s">
        <v>245</v>
      </c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90"/>
      <c r="AF1" s="90">
        <v>74</v>
      </c>
      <c r="AG1" s="90"/>
      <c r="AH1" s="90"/>
      <c r="AI1" s="90"/>
    </row>
    <row r="2" spans="1:35" s="40" customFormat="1" ht="18.75" customHeight="1">
      <c r="A2" s="359" t="s">
        <v>23</v>
      </c>
      <c r="B2" s="427">
        <f>'第一周'!B2+7</f>
        <v>45355</v>
      </c>
      <c r="C2" s="427"/>
      <c r="D2" s="427"/>
      <c r="E2" s="427"/>
      <c r="F2" s="31"/>
      <c r="G2" s="32"/>
      <c r="H2" s="359" t="s">
        <v>23</v>
      </c>
      <c r="I2" s="364">
        <f>B2+1</f>
        <v>45356</v>
      </c>
      <c r="J2" s="364"/>
      <c r="K2" s="364"/>
      <c r="L2" s="364"/>
      <c r="M2" s="33"/>
      <c r="N2" s="34"/>
      <c r="O2" s="365" t="s">
        <v>23</v>
      </c>
      <c r="P2" s="369">
        <f>I2+1</f>
        <v>45357</v>
      </c>
      <c r="Q2" s="369"/>
      <c r="R2" s="369"/>
      <c r="S2" s="369"/>
      <c r="T2" s="35"/>
      <c r="U2" s="36"/>
      <c r="V2" s="365" t="s">
        <v>23</v>
      </c>
      <c r="W2" s="363">
        <f>P2+1</f>
        <v>45358</v>
      </c>
      <c r="X2" s="363"/>
      <c r="Y2" s="363"/>
      <c r="Z2" s="363"/>
      <c r="AA2" s="37"/>
      <c r="AB2" s="38"/>
      <c r="AC2" s="365" t="s">
        <v>23</v>
      </c>
      <c r="AD2" s="372">
        <f>W2+1</f>
        <v>45359</v>
      </c>
      <c r="AE2" s="372"/>
      <c r="AF2" s="372"/>
      <c r="AG2" s="428"/>
      <c r="AH2" s="174"/>
      <c r="AI2" s="181"/>
    </row>
    <row r="3" spans="1:35" s="40" customFormat="1" ht="18.75" customHeight="1">
      <c r="A3" s="359"/>
      <c r="B3" s="41" t="s">
        <v>24</v>
      </c>
      <c r="C3" s="41" t="s">
        <v>25</v>
      </c>
      <c r="D3" s="42" t="s">
        <v>26</v>
      </c>
      <c r="E3" s="42" t="s">
        <v>27</v>
      </c>
      <c r="F3" s="43" t="s">
        <v>28</v>
      </c>
      <c r="G3" s="41" t="s">
        <v>29</v>
      </c>
      <c r="H3" s="359"/>
      <c r="I3" s="41" t="s">
        <v>24</v>
      </c>
      <c r="J3" s="41" t="s">
        <v>25</v>
      </c>
      <c r="K3" s="42" t="s">
        <v>26</v>
      </c>
      <c r="L3" s="42" t="s">
        <v>27</v>
      </c>
      <c r="M3" s="43" t="s">
        <v>28</v>
      </c>
      <c r="N3" s="44" t="s">
        <v>29</v>
      </c>
      <c r="O3" s="365"/>
      <c r="P3" s="41" t="s">
        <v>24</v>
      </c>
      <c r="Q3" s="41" t="s">
        <v>25</v>
      </c>
      <c r="R3" s="42" t="s">
        <v>26</v>
      </c>
      <c r="S3" s="42" t="s">
        <v>27</v>
      </c>
      <c r="T3" s="43" t="s">
        <v>28</v>
      </c>
      <c r="U3" s="44" t="s">
        <v>29</v>
      </c>
      <c r="V3" s="365"/>
      <c r="W3" s="41" t="s">
        <v>24</v>
      </c>
      <c r="X3" s="41" t="s">
        <v>25</v>
      </c>
      <c r="Y3" s="42" t="s">
        <v>26</v>
      </c>
      <c r="Z3" s="42" t="s">
        <v>27</v>
      </c>
      <c r="AA3" s="43" t="s">
        <v>28</v>
      </c>
      <c r="AB3" s="44" t="s">
        <v>29</v>
      </c>
      <c r="AC3" s="365"/>
      <c r="AD3" s="41" t="s">
        <v>24</v>
      </c>
      <c r="AE3" s="41" t="s">
        <v>25</v>
      </c>
      <c r="AF3" s="42" t="s">
        <v>26</v>
      </c>
      <c r="AG3" s="175" t="s">
        <v>27</v>
      </c>
      <c r="AH3" s="54" t="s">
        <v>28</v>
      </c>
      <c r="AI3" s="182" t="s">
        <v>29</v>
      </c>
    </row>
    <row r="4" spans="1:35" s="50" customFormat="1" ht="18.75" customHeight="1" hidden="1">
      <c r="A4" s="359"/>
      <c r="B4" s="355" t="s">
        <v>30</v>
      </c>
      <c r="C4" s="355"/>
      <c r="D4" s="355"/>
      <c r="E4" s="355"/>
      <c r="F4" s="45"/>
      <c r="G4" s="46"/>
      <c r="H4" s="359"/>
      <c r="I4" s="355" t="s">
        <v>31</v>
      </c>
      <c r="J4" s="355"/>
      <c r="K4" s="355"/>
      <c r="L4" s="355"/>
      <c r="M4" s="45"/>
      <c r="N4" s="47"/>
      <c r="O4" s="365"/>
      <c r="P4" s="355" t="s">
        <v>32</v>
      </c>
      <c r="Q4" s="355"/>
      <c r="R4" s="355"/>
      <c r="S4" s="355"/>
      <c r="T4" s="43"/>
      <c r="U4" s="48"/>
      <c r="V4" s="365"/>
      <c r="W4" s="355" t="s">
        <v>33</v>
      </c>
      <c r="X4" s="355"/>
      <c r="Y4" s="355"/>
      <c r="Z4" s="355"/>
      <c r="AA4" s="45"/>
      <c r="AB4" s="47"/>
      <c r="AC4" s="365"/>
      <c r="AD4" s="351" t="s">
        <v>34</v>
      </c>
      <c r="AE4" s="351"/>
      <c r="AF4" s="351"/>
      <c r="AG4" s="429"/>
      <c r="AH4" s="45"/>
      <c r="AI4" s="183"/>
    </row>
    <row r="5" spans="1:35" s="50" customFormat="1" ht="18.75" customHeight="1" thickBot="1">
      <c r="A5" s="358" t="s">
        <v>35</v>
      </c>
      <c r="B5" s="353"/>
      <c r="C5" s="353"/>
      <c r="D5" s="353"/>
      <c r="E5" s="353"/>
      <c r="F5" s="86"/>
      <c r="G5" s="87"/>
      <c r="H5" s="358" t="s">
        <v>35</v>
      </c>
      <c r="I5" s="353"/>
      <c r="J5" s="353"/>
      <c r="K5" s="353"/>
      <c r="L5" s="353"/>
      <c r="M5" s="86"/>
      <c r="N5" s="88"/>
      <c r="O5" s="352" t="s">
        <v>35</v>
      </c>
      <c r="P5" s="353"/>
      <c r="Q5" s="353"/>
      <c r="R5" s="353"/>
      <c r="S5" s="353"/>
      <c r="T5" s="86"/>
      <c r="U5" s="88"/>
      <c r="V5" s="352" t="s">
        <v>35</v>
      </c>
      <c r="W5" s="353"/>
      <c r="X5" s="353"/>
      <c r="Y5" s="353"/>
      <c r="Z5" s="353"/>
      <c r="AA5" s="86"/>
      <c r="AB5" s="88"/>
      <c r="AC5" s="352" t="s">
        <v>35</v>
      </c>
      <c r="AD5" s="353"/>
      <c r="AE5" s="353"/>
      <c r="AF5" s="353"/>
      <c r="AG5" s="426"/>
      <c r="AH5" s="45"/>
      <c r="AI5" s="183"/>
    </row>
    <row r="6" spans="1:35" s="50" customFormat="1" ht="18.75" customHeight="1">
      <c r="A6" s="442" t="s">
        <v>223</v>
      </c>
      <c r="B6" s="311" t="s">
        <v>264</v>
      </c>
      <c r="C6" s="145">
        <v>1</v>
      </c>
      <c r="D6" s="75">
        <f>ROUND($AF$1*C6,0)+1</f>
        <v>75</v>
      </c>
      <c r="E6" s="78" t="s">
        <v>51</v>
      </c>
      <c r="F6" s="261">
        <v>10</v>
      </c>
      <c r="G6" s="52">
        <f aca="true" t="shared" si="0" ref="G6:G11">D6*F6</f>
        <v>750</v>
      </c>
      <c r="H6" s="410" t="s">
        <v>136</v>
      </c>
      <c r="I6" s="53" t="s">
        <v>201</v>
      </c>
      <c r="J6" s="23">
        <v>70</v>
      </c>
      <c r="K6" s="75">
        <f>ROUND($AF$1*J6/1000,0)</f>
        <v>5</v>
      </c>
      <c r="L6" s="74" t="s">
        <v>0</v>
      </c>
      <c r="M6" s="261">
        <v>40</v>
      </c>
      <c r="N6" s="52">
        <f aca="true" t="shared" si="1" ref="N6:N13">K6*M6</f>
        <v>200</v>
      </c>
      <c r="O6" s="434" t="s">
        <v>242</v>
      </c>
      <c r="P6" s="53" t="s">
        <v>201</v>
      </c>
      <c r="Q6" s="53">
        <v>70</v>
      </c>
      <c r="R6" s="75">
        <f>ROUND($AF$1*Q6/1000,0)</f>
        <v>5</v>
      </c>
      <c r="S6" s="75" t="s">
        <v>0</v>
      </c>
      <c r="T6" s="261">
        <v>40</v>
      </c>
      <c r="U6" s="52">
        <f aca="true" t="shared" si="2" ref="U6:U14">R6*T6</f>
        <v>200</v>
      </c>
      <c r="V6" s="410" t="s">
        <v>173</v>
      </c>
      <c r="W6" s="23" t="s">
        <v>36</v>
      </c>
      <c r="X6" s="23">
        <v>8</v>
      </c>
      <c r="Y6" s="75">
        <v>1</v>
      </c>
      <c r="Z6" s="74" t="s">
        <v>0</v>
      </c>
      <c r="AA6" s="315">
        <v>63</v>
      </c>
      <c r="AB6" s="52">
        <f aca="true" t="shared" si="3" ref="AB6:AB12">Y6*AA6</f>
        <v>63</v>
      </c>
      <c r="AC6" s="337" t="s">
        <v>224</v>
      </c>
      <c r="AD6" s="173" t="s">
        <v>263</v>
      </c>
      <c r="AE6" s="185">
        <v>95</v>
      </c>
      <c r="AF6" s="312">
        <f>ROUND($AF$1*AE6/100,0)</f>
        <v>70</v>
      </c>
      <c r="AG6" s="74" t="s">
        <v>60</v>
      </c>
      <c r="AH6" s="316">
        <v>7</v>
      </c>
      <c r="AI6" s="61">
        <f aca="true" t="shared" si="4" ref="AI6:AI12">AF6*AH6</f>
        <v>490</v>
      </c>
    </row>
    <row r="7" spans="1:35" s="50" customFormat="1" ht="18.75" customHeight="1">
      <c r="A7" s="443"/>
      <c r="B7" s="76" t="s">
        <v>221</v>
      </c>
      <c r="C7" s="55">
        <v>128</v>
      </c>
      <c r="D7" s="75">
        <f>ROUND($AF$1*C7/1000,0)</f>
        <v>9</v>
      </c>
      <c r="E7" s="75" t="s">
        <v>47</v>
      </c>
      <c r="F7" s="261">
        <v>95</v>
      </c>
      <c r="G7" s="52">
        <f t="shared" si="0"/>
        <v>855</v>
      </c>
      <c r="H7" s="411"/>
      <c r="I7" s="23" t="s">
        <v>138</v>
      </c>
      <c r="J7" s="23">
        <v>32</v>
      </c>
      <c r="K7" s="75" t="s">
        <v>20</v>
      </c>
      <c r="L7" s="74" t="s">
        <v>0</v>
      </c>
      <c r="M7" s="261"/>
      <c r="N7" s="52"/>
      <c r="O7" s="434"/>
      <c r="P7" s="23" t="s">
        <v>146</v>
      </c>
      <c r="Q7" s="23">
        <v>15</v>
      </c>
      <c r="R7" s="75" t="s">
        <v>20</v>
      </c>
      <c r="S7" s="75" t="s">
        <v>0</v>
      </c>
      <c r="T7" s="261"/>
      <c r="U7" s="52"/>
      <c r="V7" s="411"/>
      <c r="W7" s="173" t="s">
        <v>15</v>
      </c>
      <c r="X7" s="23">
        <v>12</v>
      </c>
      <c r="Y7" s="75">
        <v>2</v>
      </c>
      <c r="Z7" s="74" t="s">
        <v>18</v>
      </c>
      <c r="AA7" s="261">
        <v>65</v>
      </c>
      <c r="AB7" s="52">
        <f t="shared" si="3"/>
        <v>130</v>
      </c>
      <c r="AC7" s="338"/>
      <c r="AD7" s="23" t="s">
        <v>187</v>
      </c>
      <c r="AE7" s="185">
        <v>0.28</v>
      </c>
      <c r="AF7" s="75">
        <f>ROUND($AF$1*AE7,0)</f>
        <v>21</v>
      </c>
      <c r="AG7" s="74" t="s">
        <v>54</v>
      </c>
      <c r="AH7" s="317">
        <v>7</v>
      </c>
      <c r="AI7" s="61">
        <f t="shared" si="4"/>
        <v>147</v>
      </c>
    </row>
    <row r="8" spans="1:50" s="50" customFormat="1" ht="18.75" customHeight="1">
      <c r="A8" s="443"/>
      <c r="B8" s="56"/>
      <c r="C8" s="56"/>
      <c r="D8" s="75"/>
      <c r="E8" s="75"/>
      <c r="F8" s="261"/>
      <c r="G8" s="52">
        <f t="shared" si="0"/>
        <v>0</v>
      </c>
      <c r="H8" s="411"/>
      <c r="I8" s="23" t="s">
        <v>139</v>
      </c>
      <c r="J8" s="23">
        <v>6</v>
      </c>
      <c r="K8" s="75">
        <f>ROUND($AF$1*J8/1000,1)</f>
        <v>0.4</v>
      </c>
      <c r="L8" s="74" t="s">
        <v>0</v>
      </c>
      <c r="M8" s="261">
        <v>211</v>
      </c>
      <c r="N8" s="52">
        <f t="shared" si="1"/>
        <v>84.4</v>
      </c>
      <c r="O8" s="434"/>
      <c r="P8" s="23" t="s">
        <v>143</v>
      </c>
      <c r="Q8" s="23">
        <v>16</v>
      </c>
      <c r="R8" s="23">
        <f aca="true" t="shared" si="5" ref="R8:R13">ROUND($AF$1*Q8/1000,1)</f>
        <v>1.2</v>
      </c>
      <c r="S8" s="75" t="s">
        <v>0</v>
      </c>
      <c r="T8" s="261">
        <v>63</v>
      </c>
      <c r="U8" s="52">
        <f t="shared" si="2"/>
        <v>75.6</v>
      </c>
      <c r="V8" s="411"/>
      <c r="W8" s="211" t="s">
        <v>187</v>
      </c>
      <c r="X8" s="211">
        <v>15</v>
      </c>
      <c r="Y8" s="212">
        <v>2</v>
      </c>
      <c r="Z8" s="213" t="s">
        <v>21</v>
      </c>
      <c r="AA8" s="261">
        <v>70</v>
      </c>
      <c r="AB8" s="52">
        <f t="shared" si="3"/>
        <v>140</v>
      </c>
      <c r="AC8" s="338"/>
      <c r="AD8" s="23" t="s">
        <v>56</v>
      </c>
      <c r="AE8" s="24">
        <v>5</v>
      </c>
      <c r="AF8" s="75">
        <f>ROUND($AF$1*AE8/1000,1)</f>
        <v>0.4</v>
      </c>
      <c r="AG8" s="74" t="s">
        <v>2</v>
      </c>
      <c r="AH8" s="317">
        <v>99</v>
      </c>
      <c r="AI8" s="61">
        <f t="shared" si="4"/>
        <v>39.6</v>
      </c>
      <c r="AR8" s="337" t="s">
        <v>52</v>
      </c>
      <c r="AS8" s="23" t="s">
        <v>53</v>
      </c>
      <c r="AT8" s="24">
        <v>1.5</v>
      </c>
      <c r="AU8" s="75">
        <v>90</v>
      </c>
      <c r="AV8" s="25" t="s">
        <v>14</v>
      </c>
      <c r="AW8" s="51">
        <v>65</v>
      </c>
      <c r="AX8" s="52"/>
    </row>
    <row r="9" spans="1:50" s="50" customFormat="1" ht="18.75" customHeight="1">
      <c r="A9" s="443"/>
      <c r="B9" s="56"/>
      <c r="C9" s="56"/>
      <c r="D9" s="92"/>
      <c r="E9" s="92"/>
      <c r="F9" s="261"/>
      <c r="G9" s="52">
        <f t="shared" si="0"/>
        <v>0</v>
      </c>
      <c r="H9" s="411"/>
      <c r="I9" s="23" t="s">
        <v>70</v>
      </c>
      <c r="J9" s="23">
        <v>6</v>
      </c>
      <c r="K9" s="75">
        <f>ROUND($AF$1*J9/1000,1)</f>
        <v>0.4</v>
      </c>
      <c r="L9" s="74" t="s">
        <v>0</v>
      </c>
      <c r="M9" s="261">
        <v>290</v>
      </c>
      <c r="N9" s="52">
        <f t="shared" si="1"/>
        <v>116</v>
      </c>
      <c r="O9" s="434"/>
      <c r="P9" s="23" t="s">
        <v>64</v>
      </c>
      <c r="Q9" s="23">
        <v>8</v>
      </c>
      <c r="R9" s="23">
        <f t="shared" si="5"/>
        <v>0.6</v>
      </c>
      <c r="S9" s="75" t="s">
        <v>0</v>
      </c>
      <c r="T9" s="261">
        <v>39</v>
      </c>
      <c r="U9" s="52">
        <f t="shared" si="2"/>
        <v>23.4</v>
      </c>
      <c r="V9" s="411"/>
      <c r="W9" s="23" t="s">
        <v>94</v>
      </c>
      <c r="X9" s="23">
        <v>15</v>
      </c>
      <c r="Y9" s="75" t="s">
        <v>20</v>
      </c>
      <c r="Z9" s="74" t="s">
        <v>0</v>
      </c>
      <c r="AA9" s="261"/>
      <c r="AB9" s="52"/>
      <c r="AC9" s="338"/>
      <c r="AD9" s="23" t="s">
        <v>63</v>
      </c>
      <c r="AE9" s="24">
        <v>5</v>
      </c>
      <c r="AF9" s="75">
        <f>ROUND($AF$1*AE9/1000,1)</f>
        <v>0.4</v>
      </c>
      <c r="AG9" s="74" t="s">
        <v>2</v>
      </c>
      <c r="AH9" s="317">
        <v>39</v>
      </c>
      <c r="AI9" s="61">
        <f t="shared" si="4"/>
        <v>15.600000000000001</v>
      </c>
      <c r="AR9" s="338"/>
      <c r="AS9" s="23"/>
      <c r="AT9" s="24"/>
      <c r="AU9" s="26"/>
      <c r="AV9" s="27"/>
      <c r="AW9" s="51">
        <v>45</v>
      </c>
      <c r="AX9" s="52">
        <f>AU9*AW9</f>
        <v>0</v>
      </c>
    </row>
    <row r="10" spans="1:50" s="50" customFormat="1" ht="18.75" customHeight="1">
      <c r="A10" s="443"/>
      <c r="B10" s="56"/>
      <c r="C10" s="56"/>
      <c r="D10" s="148"/>
      <c r="E10" s="92"/>
      <c r="F10" s="261"/>
      <c r="G10" s="52">
        <f t="shared" si="0"/>
        <v>0</v>
      </c>
      <c r="H10" s="411"/>
      <c r="I10" s="23" t="s">
        <v>36</v>
      </c>
      <c r="J10" s="23">
        <v>18</v>
      </c>
      <c r="K10" s="75">
        <f>ROUND($AF$1*J10/1000,1)</f>
        <v>1.3</v>
      </c>
      <c r="L10" s="74" t="s">
        <v>0</v>
      </c>
      <c r="M10" s="261">
        <v>63</v>
      </c>
      <c r="N10" s="52">
        <f t="shared" si="1"/>
        <v>81.9</v>
      </c>
      <c r="O10" s="434"/>
      <c r="P10" s="23" t="s">
        <v>126</v>
      </c>
      <c r="Q10" s="23">
        <v>8</v>
      </c>
      <c r="R10" s="23">
        <f t="shared" si="5"/>
        <v>0.6</v>
      </c>
      <c r="S10" s="75" t="s">
        <v>0</v>
      </c>
      <c r="T10" s="261">
        <v>120</v>
      </c>
      <c r="U10" s="52">
        <f t="shared" si="2"/>
        <v>72</v>
      </c>
      <c r="V10" s="411"/>
      <c r="W10" s="23" t="s">
        <v>91</v>
      </c>
      <c r="X10" s="23">
        <v>1.5</v>
      </c>
      <c r="Y10" s="75" t="s">
        <v>20</v>
      </c>
      <c r="Z10" s="74" t="s">
        <v>0</v>
      </c>
      <c r="AA10" s="261"/>
      <c r="AB10" s="52"/>
      <c r="AC10" s="338"/>
      <c r="AD10" s="435"/>
      <c r="AE10" s="436"/>
      <c r="AF10" s="436"/>
      <c r="AG10" s="437"/>
      <c r="AH10" s="317"/>
      <c r="AI10" s="61">
        <f t="shared" si="4"/>
        <v>0</v>
      </c>
      <c r="AR10" s="338"/>
      <c r="AS10" s="23" t="s">
        <v>37</v>
      </c>
      <c r="AT10" s="24">
        <v>20</v>
      </c>
      <c r="AU10" s="75">
        <v>40</v>
      </c>
      <c r="AV10" s="25" t="s">
        <v>54</v>
      </c>
      <c r="AW10" s="51"/>
      <c r="AX10" s="52">
        <f>AU10*AW10</f>
        <v>0</v>
      </c>
    </row>
    <row r="11" spans="1:50" s="50" customFormat="1" ht="18.75" customHeight="1">
      <c r="A11" s="443"/>
      <c r="B11" s="56"/>
      <c r="C11" s="56"/>
      <c r="D11" s="148"/>
      <c r="E11" s="92"/>
      <c r="F11" s="261"/>
      <c r="G11" s="52">
        <f t="shared" si="0"/>
        <v>0</v>
      </c>
      <c r="H11" s="411"/>
      <c r="I11" s="59" t="s">
        <v>141</v>
      </c>
      <c r="J11" s="23">
        <v>5</v>
      </c>
      <c r="K11" s="75">
        <v>1</v>
      </c>
      <c r="L11" s="74" t="s">
        <v>18</v>
      </c>
      <c r="M11" s="261">
        <v>65</v>
      </c>
      <c r="N11" s="52">
        <f t="shared" si="1"/>
        <v>65</v>
      </c>
      <c r="O11" s="434"/>
      <c r="P11" s="23" t="s">
        <v>144</v>
      </c>
      <c r="Q11" s="23">
        <v>33</v>
      </c>
      <c r="R11" s="23">
        <f t="shared" si="5"/>
        <v>2.4</v>
      </c>
      <c r="S11" s="75" t="s">
        <v>0</v>
      </c>
      <c r="T11" s="261">
        <v>47</v>
      </c>
      <c r="U11" s="52">
        <f t="shared" si="2"/>
        <v>112.8</v>
      </c>
      <c r="V11" s="411"/>
      <c r="W11" s="23" t="s">
        <v>174</v>
      </c>
      <c r="X11" s="23">
        <v>10</v>
      </c>
      <c r="Y11" s="75">
        <f>ROUND($AF$1*X11/1000,1)</f>
        <v>0.7</v>
      </c>
      <c r="Z11" s="74" t="s">
        <v>0</v>
      </c>
      <c r="AA11" s="261">
        <v>580</v>
      </c>
      <c r="AB11" s="52">
        <f t="shared" si="3"/>
        <v>406</v>
      </c>
      <c r="AC11" s="338"/>
      <c r="AD11" s="270" t="s">
        <v>225</v>
      </c>
      <c r="AE11" s="267">
        <v>82</v>
      </c>
      <c r="AF11" s="314">
        <f>ROUND($AF$1*AE11/1000,0)</f>
        <v>6</v>
      </c>
      <c r="AG11" s="271" t="s">
        <v>47</v>
      </c>
      <c r="AH11" s="317">
        <v>45</v>
      </c>
      <c r="AI11" s="61">
        <f t="shared" si="4"/>
        <v>270</v>
      </c>
      <c r="AR11" s="338"/>
      <c r="AS11" s="23" t="s">
        <v>55</v>
      </c>
      <c r="AT11" s="23">
        <v>10</v>
      </c>
      <c r="AU11" s="75">
        <v>4</v>
      </c>
      <c r="AV11" s="25" t="s">
        <v>18</v>
      </c>
      <c r="AW11" s="51">
        <v>125</v>
      </c>
      <c r="AX11" s="52">
        <f>AU11*AW11</f>
        <v>500</v>
      </c>
    </row>
    <row r="12" spans="1:50" s="50" customFormat="1" ht="18.75" customHeight="1">
      <c r="A12" s="443"/>
      <c r="B12" s="56"/>
      <c r="C12" s="56"/>
      <c r="D12" s="92"/>
      <c r="E12" s="97"/>
      <c r="F12" s="261"/>
      <c r="G12" s="52"/>
      <c r="H12" s="411"/>
      <c r="I12" s="59" t="s">
        <v>118</v>
      </c>
      <c r="J12" s="23">
        <v>28</v>
      </c>
      <c r="K12" s="75">
        <f>ROUND($AF$1*J12/1000,1)</f>
        <v>2.1</v>
      </c>
      <c r="L12" s="74" t="s">
        <v>0</v>
      </c>
      <c r="M12" s="261">
        <v>62</v>
      </c>
      <c r="N12" s="52">
        <f t="shared" si="1"/>
        <v>130.20000000000002</v>
      </c>
      <c r="O12" s="434"/>
      <c r="P12" s="23" t="s">
        <v>117</v>
      </c>
      <c r="Q12" s="23">
        <v>15</v>
      </c>
      <c r="R12" s="75">
        <v>1</v>
      </c>
      <c r="S12" s="75" t="s">
        <v>109</v>
      </c>
      <c r="T12" s="261">
        <v>17</v>
      </c>
      <c r="U12" s="52">
        <f t="shared" si="2"/>
        <v>17</v>
      </c>
      <c r="V12" s="411"/>
      <c r="W12" s="59" t="s">
        <v>63</v>
      </c>
      <c r="X12" s="23">
        <v>12</v>
      </c>
      <c r="Y12" s="75">
        <f>ROUND($AF$1*X12/1000,1)</f>
        <v>0.9</v>
      </c>
      <c r="Z12" s="74" t="s">
        <v>0</v>
      </c>
      <c r="AA12" s="261">
        <v>39</v>
      </c>
      <c r="AB12" s="52">
        <f t="shared" si="3"/>
        <v>35.1</v>
      </c>
      <c r="AC12" s="338"/>
      <c r="AD12" s="194" t="s">
        <v>226</v>
      </c>
      <c r="AE12" s="55">
        <v>41</v>
      </c>
      <c r="AF12" s="75">
        <f>ROUND($AF$1*AE12/1000,1)</f>
        <v>3</v>
      </c>
      <c r="AG12" s="74" t="s">
        <v>18</v>
      </c>
      <c r="AH12" s="317">
        <v>45</v>
      </c>
      <c r="AI12" s="61">
        <f t="shared" si="4"/>
        <v>135</v>
      </c>
      <c r="AR12" s="338"/>
      <c r="AS12" s="23" t="s">
        <v>56</v>
      </c>
      <c r="AT12" s="24">
        <v>1</v>
      </c>
      <c r="AU12" s="75">
        <f>ROUND($AI$1*AT12/1000,1)</f>
        <v>0</v>
      </c>
      <c r="AV12" s="74" t="s">
        <v>0</v>
      </c>
      <c r="AW12" s="51"/>
      <c r="AX12" s="52">
        <f>AU12*AW12</f>
        <v>0</v>
      </c>
    </row>
    <row r="13" spans="1:50" s="50" customFormat="1" ht="18.75" customHeight="1">
      <c r="A13" s="443"/>
      <c r="B13" s="56"/>
      <c r="C13" s="56"/>
      <c r="D13" s="92"/>
      <c r="E13" s="97"/>
      <c r="F13" s="261"/>
      <c r="G13" s="52"/>
      <c r="H13" s="411"/>
      <c r="I13" s="23" t="s">
        <v>119</v>
      </c>
      <c r="J13" s="59">
        <v>0.1</v>
      </c>
      <c r="K13" s="75">
        <v>1</v>
      </c>
      <c r="L13" s="74" t="s">
        <v>18</v>
      </c>
      <c r="M13" s="261">
        <v>160</v>
      </c>
      <c r="N13" s="52">
        <f t="shared" si="1"/>
        <v>160</v>
      </c>
      <c r="O13" s="434"/>
      <c r="P13" s="53" t="s">
        <v>112</v>
      </c>
      <c r="Q13" s="53">
        <v>8</v>
      </c>
      <c r="R13" s="23">
        <f t="shared" si="5"/>
        <v>0.6</v>
      </c>
      <c r="S13" s="75" t="s">
        <v>0</v>
      </c>
      <c r="T13" s="261">
        <v>75</v>
      </c>
      <c r="U13" s="52">
        <f t="shared" si="2"/>
        <v>45</v>
      </c>
      <c r="V13" s="411"/>
      <c r="W13" s="59"/>
      <c r="X13" s="59"/>
      <c r="Y13" s="75"/>
      <c r="Z13" s="74"/>
      <c r="AA13" s="261"/>
      <c r="AB13" s="52"/>
      <c r="AC13" s="338"/>
      <c r="AD13" s="194"/>
      <c r="AE13" s="55"/>
      <c r="AF13" s="75"/>
      <c r="AG13" s="74"/>
      <c r="AH13" s="261"/>
      <c r="AI13" s="61"/>
      <c r="AR13" s="338"/>
      <c r="AS13" s="23" t="s">
        <v>36</v>
      </c>
      <c r="AT13" s="23">
        <v>15</v>
      </c>
      <c r="AU13" s="75">
        <v>0.6</v>
      </c>
      <c r="AV13" s="74" t="s">
        <v>0</v>
      </c>
      <c r="AW13" s="51"/>
      <c r="AX13" s="52">
        <f>AU13*AW13</f>
        <v>0</v>
      </c>
    </row>
    <row r="14" spans="1:50" s="50" customFormat="1" ht="18.75" customHeight="1">
      <c r="A14" s="443"/>
      <c r="B14" s="149"/>
      <c r="C14" s="149"/>
      <c r="D14" s="92"/>
      <c r="E14" s="97"/>
      <c r="F14" s="261"/>
      <c r="G14" s="52"/>
      <c r="H14" s="411"/>
      <c r="I14" s="23"/>
      <c r="J14" s="59"/>
      <c r="K14" s="75"/>
      <c r="L14" s="74"/>
      <c r="M14" s="261"/>
      <c r="N14" s="52"/>
      <c r="O14" s="434"/>
      <c r="P14" s="53" t="s">
        <v>187</v>
      </c>
      <c r="Q14" s="53">
        <v>8</v>
      </c>
      <c r="R14" s="23">
        <v>1</v>
      </c>
      <c r="S14" s="75" t="s">
        <v>21</v>
      </c>
      <c r="T14" s="261">
        <v>70</v>
      </c>
      <c r="U14" s="52">
        <f t="shared" si="2"/>
        <v>70</v>
      </c>
      <c r="V14" s="411"/>
      <c r="W14" s="59"/>
      <c r="X14" s="59"/>
      <c r="Y14" s="75"/>
      <c r="Z14" s="74"/>
      <c r="AA14" s="261"/>
      <c r="AB14" s="52"/>
      <c r="AC14" s="338"/>
      <c r="AD14" s="30"/>
      <c r="AE14" s="30"/>
      <c r="AF14" s="26"/>
      <c r="AG14" s="27"/>
      <c r="AH14" s="261"/>
      <c r="AI14" s="61"/>
      <c r="AR14" s="338"/>
      <c r="AS14" s="28" t="s">
        <v>57</v>
      </c>
      <c r="AT14" s="29">
        <v>1</v>
      </c>
      <c r="AU14" s="75">
        <v>4</v>
      </c>
      <c r="AV14" s="74" t="s">
        <v>18</v>
      </c>
      <c r="AW14" s="51"/>
      <c r="AX14" s="52"/>
    </row>
    <row r="15" spans="1:50" s="40" customFormat="1" ht="18.75" customHeight="1">
      <c r="A15" s="444"/>
      <c r="B15" s="149"/>
      <c r="C15" s="149"/>
      <c r="D15" s="92"/>
      <c r="E15" s="97"/>
      <c r="F15" s="193"/>
      <c r="G15" s="52"/>
      <c r="H15" s="411"/>
      <c r="I15" s="23"/>
      <c r="J15" s="23"/>
      <c r="K15" s="75"/>
      <c r="L15" s="74"/>
      <c r="M15" s="193"/>
      <c r="N15" s="52"/>
      <c r="O15" s="434"/>
      <c r="P15" s="53" t="s">
        <v>145</v>
      </c>
      <c r="Q15" s="23">
        <v>3.5</v>
      </c>
      <c r="R15" s="75" t="s">
        <v>131</v>
      </c>
      <c r="S15" s="75" t="s">
        <v>0</v>
      </c>
      <c r="T15" s="193"/>
      <c r="U15" s="52"/>
      <c r="V15" s="411"/>
      <c r="W15" s="23"/>
      <c r="X15" s="23"/>
      <c r="Y15" s="75"/>
      <c r="Z15" s="74"/>
      <c r="AA15" s="193"/>
      <c r="AB15" s="52"/>
      <c r="AC15" s="338"/>
      <c r="AD15" s="24"/>
      <c r="AE15" s="24"/>
      <c r="AF15" s="26"/>
      <c r="AG15" s="27"/>
      <c r="AH15" s="193"/>
      <c r="AI15" s="61"/>
      <c r="AR15" s="338"/>
      <c r="AS15" s="30"/>
      <c r="AT15" s="30"/>
      <c r="AU15" s="26"/>
      <c r="AV15" s="27"/>
      <c r="AW15" s="51"/>
      <c r="AX15" s="52"/>
    </row>
    <row r="16" spans="1:50" s="50" customFormat="1" ht="18.75" customHeight="1">
      <c r="A16" s="445" t="s">
        <v>38</v>
      </c>
      <c r="B16" s="446"/>
      <c r="C16" s="446"/>
      <c r="D16" s="446"/>
      <c r="E16" s="446"/>
      <c r="F16" s="86"/>
      <c r="G16" s="87"/>
      <c r="H16" s="339" t="s">
        <v>38</v>
      </c>
      <c r="I16" s="339"/>
      <c r="J16" s="339"/>
      <c r="K16" s="339"/>
      <c r="L16" s="339"/>
      <c r="M16" s="86"/>
      <c r="N16" s="87"/>
      <c r="O16" s="339" t="s">
        <v>38</v>
      </c>
      <c r="P16" s="339"/>
      <c r="Q16" s="339"/>
      <c r="R16" s="339"/>
      <c r="S16" s="405"/>
      <c r="T16" s="86"/>
      <c r="U16" s="87"/>
      <c r="V16" s="339" t="s">
        <v>38</v>
      </c>
      <c r="W16" s="339"/>
      <c r="X16" s="339"/>
      <c r="Y16" s="339"/>
      <c r="Z16" s="339"/>
      <c r="AA16" s="305"/>
      <c r="AB16" s="320"/>
      <c r="AC16" s="430" t="s">
        <v>38</v>
      </c>
      <c r="AD16" s="430"/>
      <c r="AE16" s="430"/>
      <c r="AF16" s="430"/>
      <c r="AG16" s="430"/>
      <c r="AH16" s="305"/>
      <c r="AI16" s="320"/>
      <c r="AR16" s="338"/>
      <c r="AS16" s="30"/>
      <c r="AT16" s="30"/>
      <c r="AU16" s="26"/>
      <c r="AV16" s="27"/>
      <c r="AW16" s="51"/>
      <c r="AX16" s="52"/>
    </row>
    <row r="17" spans="1:50" s="50" customFormat="1" ht="18.75" customHeight="1">
      <c r="A17" s="424" t="s">
        <v>183</v>
      </c>
      <c r="B17" s="154" t="s">
        <v>190</v>
      </c>
      <c r="C17" s="154">
        <v>10</v>
      </c>
      <c r="D17" s="75">
        <v>6</v>
      </c>
      <c r="E17" s="155" t="s">
        <v>19</v>
      </c>
      <c r="F17" s="193">
        <v>45</v>
      </c>
      <c r="G17" s="52">
        <f>D17*F17</f>
        <v>270</v>
      </c>
      <c r="H17" s="415" t="s">
        <v>105</v>
      </c>
      <c r="I17" s="77" t="s">
        <v>106</v>
      </c>
      <c r="J17" s="77">
        <v>1</v>
      </c>
      <c r="K17" s="78">
        <v>3</v>
      </c>
      <c r="L17" s="146" t="s">
        <v>19</v>
      </c>
      <c r="M17" s="193">
        <v>48</v>
      </c>
      <c r="N17" s="52">
        <f>K17*M17</f>
        <v>144</v>
      </c>
      <c r="O17" s="431" t="s">
        <v>89</v>
      </c>
      <c r="P17" s="313"/>
      <c r="Q17" s="244"/>
      <c r="R17" s="313"/>
      <c r="S17" s="75"/>
      <c r="T17" s="319"/>
      <c r="U17" s="52"/>
      <c r="V17" s="422" t="s">
        <v>181</v>
      </c>
      <c r="W17" s="199" t="s">
        <v>169</v>
      </c>
      <c r="X17" s="200">
        <v>3</v>
      </c>
      <c r="Y17" s="75" t="s">
        <v>20</v>
      </c>
      <c r="Z17" s="75" t="s">
        <v>19</v>
      </c>
      <c r="AA17" s="261"/>
      <c r="AB17" s="321"/>
      <c r="AC17" s="337" t="s">
        <v>89</v>
      </c>
      <c r="AD17" s="322" t="s">
        <v>58</v>
      </c>
      <c r="AE17" s="244">
        <v>41</v>
      </c>
      <c r="AF17" s="323">
        <f>ROUND($AF$1*AE17/1000,1)</f>
        <v>3</v>
      </c>
      <c r="AG17" s="99" t="s">
        <v>0</v>
      </c>
      <c r="AH17" s="317">
        <v>175</v>
      </c>
      <c r="AI17" s="327">
        <f>AF17*AH17</f>
        <v>525</v>
      </c>
      <c r="AR17" s="338"/>
      <c r="AS17" s="24"/>
      <c r="AT17" s="24"/>
      <c r="AU17" s="26"/>
      <c r="AV17" s="27"/>
      <c r="AW17" s="51"/>
      <c r="AX17" s="52">
        <f>AU17*AW17</f>
        <v>0</v>
      </c>
    </row>
    <row r="18" spans="1:48" s="50" customFormat="1" ht="18.75" customHeight="1">
      <c r="A18" s="425"/>
      <c r="B18" s="53" t="s">
        <v>75</v>
      </c>
      <c r="C18" s="53">
        <v>17</v>
      </c>
      <c r="D18" s="312">
        <f>ROUND($AF$1*C18/600,0)</f>
        <v>2</v>
      </c>
      <c r="E18" s="25" t="s">
        <v>111</v>
      </c>
      <c r="F18" s="193">
        <v>66</v>
      </c>
      <c r="G18" s="52">
        <f>D18*F18</f>
        <v>132</v>
      </c>
      <c r="H18" s="416"/>
      <c r="I18" s="313" t="s">
        <v>103</v>
      </c>
      <c r="J18" s="56">
        <v>8</v>
      </c>
      <c r="K18" s="75">
        <f>ROUND($AF$1*J18/1000,1)</f>
        <v>0.6</v>
      </c>
      <c r="L18" s="146" t="s">
        <v>0</v>
      </c>
      <c r="M18" s="319">
        <v>120</v>
      </c>
      <c r="N18" s="52">
        <f>K18*M18</f>
        <v>72</v>
      </c>
      <c r="O18" s="432"/>
      <c r="P18" s="29" t="s">
        <v>58</v>
      </c>
      <c r="Q18" s="244">
        <v>54</v>
      </c>
      <c r="R18" s="313">
        <f>ROUND($AF$1*Q18/1000,1)</f>
        <v>4</v>
      </c>
      <c r="S18" s="75" t="s">
        <v>0</v>
      </c>
      <c r="T18" s="261">
        <v>175</v>
      </c>
      <c r="U18" s="52">
        <f>R18*T18</f>
        <v>700</v>
      </c>
      <c r="V18" s="423"/>
      <c r="W18" s="189" t="s">
        <v>170</v>
      </c>
      <c r="X18" s="201">
        <v>2</v>
      </c>
      <c r="Y18" s="75">
        <v>1</v>
      </c>
      <c r="Z18" s="75" t="s">
        <v>19</v>
      </c>
      <c r="AA18" s="261">
        <v>170</v>
      </c>
      <c r="AB18" s="52">
        <f>Y18*AA18</f>
        <v>170</v>
      </c>
      <c r="AC18" s="338"/>
      <c r="AD18" s="318" t="s">
        <v>92</v>
      </c>
      <c r="AE18" s="244">
        <v>41</v>
      </c>
      <c r="AF18" s="75">
        <f>ROUND($AF$1*AE18/1000,1)</f>
        <v>3</v>
      </c>
      <c r="AG18" s="74" t="s">
        <v>0</v>
      </c>
      <c r="AH18" s="319">
        <v>195</v>
      </c>
      <c r="AI18" s="61">
        <f>AF18*AH18</f>
        <v>585</v>
      </c>
      <c r="AR18" s="439"/>
      <c r="AS18" s="24"/>
      <c r="AT18" s="24"/>
      <c r="AU18" s="26"/>
      <c r="AV18" s="27"/>
    </row>
    <row r="19" spans="1:50" s="50" customFormat="1" ht="18.75" customHeight="1">
      <c r="A19" s="425"/>
      <c r="B19" s="53" t="s">
        <v>70</v>
      </c>
      <c r="C19" s="53">
        <v>10</v>
      </c>
      <c r="D19" s="75">
        <f>ROUND($AF$1*C19/1000,1)</f>
        <v>0.7</v>
      </c>
      <c r="E19" s="74" t="s">
        <v>0</v>
      </c>
      <c r="F19" s="193">
        <v>290</v>
      </c>
      <c r="G19" s="52">
        <f>D19*F19</f>
        <v>203</v>
      </c>
      <c r="H19" s="416"/>
      <c r="I19" s="56" t="s">
        <v>102</v>
      </c>
      <c r="J19" s="56">
        <v>34</v>
      </c>
      <c r="K19" s="75">
        <f>ROUND($AF$1*J19/1000,1)</f>
        <v>2.5</v>
      </c>
      <c r="L19" s="146" t="s">
        <v>0</v>
      </c>
      <c r="M19" s="193">
        <v>150</v>
      </c>
      <c r="N19" s="52">
        <f>K19*M19</f>
        <v>375</v>
      </c>
      <c r="O19" s="432"/>
      <c r="P19" s="78" t="s">
        <v>175</v>
      </c>
      <c r="Q19" s="244">
        <v>41</v>
      </c>
      <c r="R19" s="23">
        <f>ROUND($AF$1*Q19/1000,1)</f>
        <v>3</v>
      </c>
      <c r="S19" s="75" t="s">
        <v>0</v>
      </c>
      <c r="T19" s="261">
        <v>120</v>
      </c>
      <c r="U19" s="52">
        <f>R19*T19</f>
        <v>360</v>
      </c>
      <c r="V19" s="423"/>
      <c r="W19" s="188" t="s">
        <v>227</v>
      </c>
      <c r="X19" s="202">
        <v>15</v>
      </c>
      <c r="Y19" s="75">
        <v>1</v>
      </c>
      <c r="Z19" s="75" t="s">
        <v>19</v>
      </c>
      <c r="AA19" s="261">
        <v>35</v>
      </c>
      <c r="AB19" s="52">
        <f>Y19*AA19</f>
        <v>35</v>
      </c>
      <c r="AC19" s="338"/>
      <c r="AD19" s="318"/>
      <c r="AE19" s="244"/>
      <c r="AF19" s="75"/>
      <c r="AG19" s="74"/>
      <c r="AH19" s="319"/>
      <c r="AI19" s="61"/>
      <c r="AR19" s="356" t="s">
        <v>39</v>
      </c>
      <c r="AS19" s="29" t="s">
        <v>40</v>
      </c>
      <c r="AT19" s="29">
        <v>3.5</v>
      </c>
      <c r="AU19" s="75" t="s">
        <v>20</v>
      </c>
      <c r="AV19" s="74" t="s">
        <v>0</v>
      </c>
      <c r="AW19" s="51"/>
      <c r="AX19" s="52" t="e">
        <f>AU19*AW19</f>
        <v>#VALUE!</v>
      </c>
    </row>
    <row r="20" spans="1:50" s="50" customFormat="1" ht="18.75" customHeight="1">
      <c r="A20" s="425"/>
      <c r="B20" s="23" t="s">
        <v>189</v>
      </c>
      <c r="C20" s="53">
        <v>3</v>
      </c>
      <c r="D20" s="75">
        <f>ROUND($AF$1*C20/1000,1)</f>
        <v>0.2</v>
      </c>
      <c r="E20" s="74" t="s">
        <v>0</v>
      </c>
      <c r="F20" s="193">
        <v>355</v>
      </c>
      <c r="G20" s="52">
        <f>D20*F20</f>
        <v>71</v>
      </c>
      <c r="H20" s="416"/>
      <c r="I20" s="28" t="s">
        <v>17</v>
      </c>
      <c r="J20" s="56">
        <v>34</v>
      </c>
      <c r="K20" s="75">
        <f>ROUND($AF$1*J20/1000,1)</f>
        <v>2.5</v>
      </c>
      <c r="L20" s="146" t="s">
        <v>0</v>
      </c>
      <c r="M20" s="193">
        <v>140</v>
      </c>
      <c r="N20" s="52">
        <f>K20*M20</f>
        <v>350</v>
      </c>
      <c r="O20" s="432"/>
      <c r="P20" s="23"/>
      <c r="Q20" s="23"/>
      <c r="R20" s="75"/>
      <c r="S20" s="75"/>
      <c r="T20" s="193"/>
      <c r="U20" s="52">
        <f>R20*T20</f>
        <v>0</v>
      </c>
      <c r="V20" s="423"/>
      <c r="W20" s="188" t="s">
        <v>171</v>
      </c>
      <c r="X20" s="202"/>
      <c r="Y20" s="75">
        <v>1</v>
      </c>
      <c r="Z20" s="26" t="s">
        <v>172</v>
      </c>
      <c r="AA20" s="261">
        <v>330</v>
      </c>
      <c r="AB20" s="52">
        <f>Y20*AA20</f>
        <v>330</v>
      </c>
      <c r="AC20" s="338"/>
      <c r="AD20" s="162"/>
      <c r="AE20" s="162"/>
      <c r="AF20" s="75"/>
      <c r="AG20" s="74"/>
      <c r="AH20" s="193"/>
      <c r="AI20" s="61">
        <f>AF20*AH20</f>
        <v>0</v>
      </c>
      <c r="AR20" s="357"/>
      <c r="AS20" s="29" t="s">
        <v>43</v>
      </c>
      <c r="AT20" s="29">
        <v>3.5</v>
      </c>
      <c r="AU20" s="75" t="s">
        <v>20</v>
      </c>
      <c r="AV20" s="74" t="s">
        <v>0</v>
      </c>
      <c r="AW20" s="51"/>
      <c r="AX20" s="52" t="e">
        <f>AU20*AW20</f>
        <v>#VALUE!</v>
      </c>
    </row>
    <row r="21" spans="1:50" s="50" customFormat="1" ht="18.75" customHeight="1">
      <c r="A21" s="425"/>
      <c r="B21" s="53" t="s">
        <v>182</v>
      </c>
      <c r="C21" s="53">
        <v>15</v>
      </c>
      <c r="D21" s="75">
        <v>3</v>
      </c>
      <c r="E21" s="74" t="s">
        <v>0</v>
      </c>
      <c r="F21" s="193">
        <v>214</v>
      </c>
      <c r="G21" s="52">
        <f>D21*F21</f>
        <v>642</v>
      </c>
      <c r="H21" s="416"/>
      <c r="I21" s="58"/>
      <c r="J21" s="56"/>
      <c r="K21" s="75"/>
      <c r="L21" s="146"/>
      <c r="M21" s="193"/>
      <c r="N21" s="52"/>
      <c r="O21" s="432"/>
      <c r="P21" s="266" t="s">
        <v>196</v>
      </c>
      <c r="Q21" s="267">
        <v>128</v>
      </c>
      <c r="R21" s="268" t="s">
        <v>20</v>
      </c>
      <c r="S21" s="146" t="s">
        <v>47</v>
      </c>
      <c r="T21" s="193"/>
      <c r="U21" s="52"/>
      <c r="V21" s="423"/>
      <c r="W21" s="266" t="s">
        <v>196</v>
      </c>
      <c r="X21" s="267">
        <v>80</v>
      </c>
      <c r="Y21" s="268" t="s">
        <v>20</v>
      </c>
      <c r="Z21" s="146" t="s">
        <v>47</v>
      </c>
      <c r="AA21" s="261"/>
      <c r="AB21" s="52"/>
      <c r="AC21" s="338"/>
      <c r="AD21" s="266" t="s">
        <v>196</v>
      </c>
      <c r="AE21" s="267">
        <v>128</v>
      </c>
      <c r="AF21" s="268" t="s">
        <v>20</v>
      </c>
      <c r="AG21" s="146" t="s">
        <v>47</v>
      </c>
      <c r="AH21" s="193"/>
      <c r="AI21" s="61"/>
      <c r="AR21" s="357"/>
      <c r="AS21" s="29" t="s">
        <v>45</v>
      </c>
      <c r="AT21" s="29">
        <v>7</v>
      </c>
      <c r="AU21" s="75">
        <v>0.2</v>
      </c>
      <c r="AV21" s="74" t="s">
        <v>0</v>
      </c>
      <c r="AW21" s="51">
        <v>48</v>
      </c>
      <c r="AX21" s="52">
        <f>AU21*AW21</f>
        <v>9.600000000000001</v>
      </c>
    </row>
    <row r="22" spans="1:50" s="50" customFormat="1" ht="18.75" customHeight="1">
      <c r="A22" s="425"/>
      <c r="B22" s="57"/>
      <c r="C22" s="57"/>
      <c r="D22" s="152"/>
      <c r="E22" s="153"/>
      <c r="F22" s="193"/>
      <c r="G22" s="52"/>
      <c r="H22" s="416"/>
      <c r="I22" s="58" t="s">
        <v>67</v>
      </c>
      <c r="J22" s="79"/>
      <c r="K22" s="78" t="s">
        <v>20</v>
      </c>
      <c r="L22" s="146" t="s">
        <v>0</v>
      </c>
      <c r="M22" s="193"/>
      <c r="N22" s="52"/>
      <c r="O22" s="432"/>
      <c r="P22" s="269" t="s">
        <v>219</v>
      </c>
      <c r="Q22" s="156"/>
      <c r="R22" s="92"/>
      <c r="S22" s="97"/>
      <c r="T22" s="193"/>
      <c r="U22" s="52"/>
      <c r="V22" s="423"/>
      <c r="W22" s="269" t="s">
        <v>222</v>
      </c>
      <c r="X22" s="156"/>
      <c r="Y22" s="92"/>
      <c r="Z22" s="97"/>
      <c r="AA22" s="261"/>
      <c r="AB22" s="52"/>
      <c r="AC22" s="338"/>
      <c r="AD22" s="269" t="s">
        <v>219</v>
      </c>
      <c r="AE22" s="156"/>
      <c r="AF22" s="92"/>
      <c r="AG22" s="97"/>
      <c r="AH22" s="193"/>
      <c r="AI22" s="61"/>
      <c r="AR22" s="357"/>
      <c r="AS22" s="29" t="s">
        <v>46</v>
      </c>
      <c r="AT22" s="29">
        <v>3.5</v>
      </c>
      <c r="AU22" s="75" t="s">
        <v>20</v>
      </c>
      <c r="AV22" s="74" t="s">
        <v>0</v>
      </c>
      <c r="AW22" s="51"/>
      <c r="AX22" s="52" t="e">
        <f>AU22*AW22</f>
        <v>#VALUE!</v>
      </c>
    </row>
    <row r="23" spans="1:50" s="50" customFormat="1" ht="18.75" customHeight="1">
      <c r="A23" s="425"/>
      <c r="B23" s="57"/>
      <c r="C23" s="57"/>
      <c r="D23" s="152"/>
      <c r="E23" s="153"/>
      <c r="F23" s="193"/>
      <c r="G23" s="52"/>
      <c r="H23" s="416"/>
      <c r="I23" s="80" t="s">
        <v>68</v>
      </c>
      <c r="J23" s="80"/>
      <c r="K23" s="418" t="s">
        <v>98</v>
      </c>
      <c r="L23" s="419"/>
      <c r="M23" s="193"/>
      <c r="N23" s="52"/>
      <c r="O23" s="432"/>
      <c r="P23" s="59"/>
      <c r="Q23" s="59"/>
      <c r="R23" s="75"/>
      <c r="S23" s="75"/>
      <c r="T23" s="193"/>
      <c r="U23" s="52"/>
      <c r="V23" s="423"/>
      <c r="W23" s="62"/>
      <c r="X23" s="62"/>
      <c r="Y23" s="75"/>
      <c r="Z23" s="75"/>
      <c r="AA23" s="193"/>
      <c r="AB23" s="52"/>
      <c r="AC23" s="338"/>
      <c r="AD23" s="162"/>
      <c r="AE23" s="162"/>
      <c r="AF23" s="75"/>
      <c r="AG23" s="74"/>
      <c r="AH23" s="193"/>
      <c r="AI23" s="61"/>
      <c r="AR23" s="357"/>
      <c r="AS23" s="29" t="s">
        <v>48</v>
      </c>
      <c r="AT23" s="29">
        <v>3.5</v>
      </c>
      <c r="AU23" s="75" t="s">
        <v>20</v>
      </c>
      <c r="AV23" s="74" t="s">
        <v>0</v>
      </c>
      <c r="AW23" s="51"/>
      <c r="AX23" s="52"/>
    </row>
    <row r="24" spans="1:50" s="50" customFormat="1" ht="18.75" customHeight="1" thickBot="1">
      <c r="A24" s="425"/>
      <c r="B24" s="57"/>
      <c r="C24" s="57"/>
      <c r="D24" s="158"/>
      <c r="E24" s="159"/>
      <c r="F24" s="193"/>
      <c r="G24" s="52">
        <f>D24*F24</f>
        <v>0</v>
      </c>
      <c r="H24" s="417"/>
      <c r="I24" s="192" t="s">
        <v>104</v>
      </c>
      <c r="J24" s="420" t="s">
        <v>97</v>
      </c>
      <c r="K24" s="420"/>
      <c r="L24" s="421"/>
      <c r="M24" s="193"/>
      <c r="N24" s="52">
        <f>K24*M24</f>
        <v>0</v>
      </c>
      <c r="O24" s="433"/>
      <c r="P24" s="59"/>
      <c r="Q24" s="59"/>
      <c r="R24" s="75"/>
      <c r="S24" s="75"/>
      <c r="T24" s="193"/>
      <c r="U24" s="52">
        <f>R24*T24</f>
        <v>0</v>
      </c>
      <c r="V24" s="423"/>
      <c r="W24" s="58" t="s">
        <v>58</v>
      </c>
      <c r="X24" s="23">
        <v>61</v>
      </c>
      <c r="Y24" s="312">
        <f>ROUND($AF$1*X24/1000,1)</f>
        <v>4.5</v>
      </c>
      <c r="Z24" s="75" t="s">
        <v>0</v>
      </c>
      <c r="AA24" s="324">
        <v>175</v>
      </c>
      <c r="AB24" s="234">
        <f>Y24*AA24</f>
        <v>787.5</v>
      </c>
      <c r="AC24" s="440"/>
      <c r="AD24" s="325"/>
      <c r="AE24" s="325"/>
      <c r="AF24" s="180"/>
      <c r="AG24" s="326"/>
      <c r="AH24" s="324"/>
      <c r="AI24" s="328">
        <f>AF24*AH24</f>
        <v>0</v>
      </c>
      <c r="AR24" s="357"/>
      <c r="AS24" s="23" t="s">
        <v>49</v>
      </c>
      <c r="AT24" s="23">
        <v>40</v>
      </c>
      <c r="AU24" s="75">
        <v>1</v>
      </c>
      <c r="AV24" s="74" t="s">
        <v>19</v>
      </c>
      <c r="AW24" s="51">
        <v>40</v>
      </c>
      <c r="AX24" s="52"/>
    </row>
    <row r="25" spans="1:44" s="40" customFormat="1" ht="18.75" customHeight="1">
      <c r="A25" s="394" t="s">
        <v>79</v>
      </c>
      <c r="B25" s="101" t="s">
        <v>80</v>
      </c>
      <c r="C25" s="343">
        <v>2.5</v>
      </c>
      <c r="D25" s="343"/>
      <c r="E25" s="344"/>
      <c r="F25" s="383">
        <f>SUM(G6:G24)</f>
        <v>2923</v>
      </c>
      <c r="G25" s="371"/>
      <c r="H25" s="407" t="s">
        <v>79</v>
      </c>
      <c r="I25" s="101" t="s">
        <v>80</v>
      </c>
      <c r="J25" s="343">
        <v>2.1</v>
      </c>
      <c r="K25" s="343"/>
      <c r="L25" s="344"/>
      <c r="M25" s="383">
        <f>SUM(N6:N24)</f>
        <v>1778.5</v>
      </c>
      <c r="N25" s="371"/>
      <c r="O25" s="407" t="s">
        <v>79</v>
      </c>
      <c r="P25" s="101" t="s">
        <v>80</v>
      </c>
      <c r="Q25" s="343">
        <v>2</v>
      </c>
      <c r="R25" s="343"/>
      <c r="S25" s="344"/>
      <c r="T25" s="383">
        <f>SUM(U6:U24)</f>
        <v>1675.8</v>
      </c>
      <c r="U25" s="371"/>
      <c r="V25" s="340" t="s">
        <v>79</v>
      </c>
      <c r="W25" s="166" t="s">
        <v>80</v>
      </c>
      <c r="X25" s="343">
        <v>2.2</v>
      </c>
      <c r="Y25" s="343"/>
      <c r="Z25" s="344"/>
      <c r="AA25" s="397">
        <f>SUM(AB6:AB24)</f>
        <v>2096.6</v>
      </c>
      <c r="AB25" s="371"/>
      <c r="AC25" s="394" t="s">
        <v>79</v>
      </c>
      <c r="AD25" s="101" t="s">
        <v>80</v>
      </c>
      <c r="AE25" s="343">
        <v>2</v>
      </c>
      <c r="AF25" s="343"/>
      <c r="AG25" s="447"/>
      <c r="AH25" s="383">
        <f>SUM(AI6:AI24)</f>
        <v>2207.2</v>
      </c>
      <c r="AI25" s="371"/>
      <c r="AJ25" s="128">
        <f>(C25+J25+Q25+X25+AE25)/5</f>
        <v>2.16</v>
      </c>
      <c r="AR25" s="357"/>
    </row>
    <row r="26" spans="1:44" s="40" customFormat="1" ht="18.75" customHeight="1">
      <c r="A26" s="395"/>
      <c r="B26" s="103" t="s">
        <v>81</v>
      </c>
      <c r="C26" s="345">
        <v>0.5</v>
      </c>
      <c r="D26" s="345"/>
      <c r="E26" s="346"/>
      <c r="F26" s="104"/>
      <c r="G26" s="105"/>
      <c r="H26" s="408"/>
      <c r="I26" s="103" t="s">
        <v>81</v>
      </c>
      <c r="J26" s="345">
        <v>0.5</v>
      </c>
      <c r="K26" s="345"/>
      <c r="L26" s="346"/>
      <c r="M26" s="106"/>
      <c r="N26" s="105"/>
      <c r="O26" s="408"/>
      <c r="P26" s="103" t="s">
        <v>81</v>
      </c>
      <c r="Q26" s="345">
        <v>0.7</v>
      </c>
      <c r="R26" s="345"/>
      <c r="S26" s="346"/>
      <c r="T26" s="106"/>
      <c r="U26" s="107"/>
      <c r="V26" s="341"/>
      <c r="W26" s="167" t="s">
        <v>81</v>
      </c>
      <c r="X26" s="345">
        <v>0.8</v>
      </c>
      <c r="Y26" s="345"/>
      <c r="Z26" s="346"/>
      <c r="AA26" s="108"/>
      <c r="AB26" s="105"/>
      <c r="AC26" s="395"/>
      <c r="AD26" s="103" t="s">
        <v>81</v>
      </c>
      <c r="AE26" s="345">
        <v>0.5</v>
      </c>
      <c r="AF26" s="345"/>
      <c r="AG26" s="438"/>
      <c r="AH26" s="109"/>
      <c r="AI26" s="110"/>
      <c r="AJ26" s="128">
        <f aca="true" t="shared" si="6" ref="AJ26:AJ31">(C26+J26+Q26+X26+AE26)/5</f>
        <v>0.6</v>
      </c>
      <c r="AR26" s="357"/>
    </row>
    <row r="27" spans="1:45" s="40" customFormat="1" ht="18.75" customHeight="1">
      <c r="A27" s="395"/>
      <c r="B27" s="111" t="s">
        <v>84</v>
      </c>
      <c r="C27" s="345">
        <v>0.3</v>
      </c>
      <c r="D27" s="345"/>
      <c r="E27" s="346"/>
      <c r="F27" s="104"/>
      <c r="G27" s="105"/>
      <c r="H27" s="408"/>
      <c r="I27" s="111" t="s">
        <v>84</v>
      </c>
      <c r="J27" s="345">
        <v>0.5</v>
      </c>
      <c r="K27" s="345"/>
      <c r="L27" s="346"/>
      <c r="M27" s="106"/>
      <c r="N27" s="105"/>
      <c r="O27" s="408"/>
      <c r="P27" s="111" t="s">
        <v>84</v>
      </c>
      <c r="Q27" s="345">
        <v>0.7</v>
      </c>
      <c r="R27" s="345"/>
      <c r="S27" s="346"/>
      <c r="T27" s="106"/>
      <c r="U27" s="107"/>
      <c r="V27" s="341"/>
      <c r="W27" s="168" t="s">
        <v>84</v>
      </c>
      <c r="X27" s="345">
        <v>0.5</v>
      </c>
      <c r="Y27" s="345"/>
      <c r="Z27" s="346"/>
      <c r="AA27" s="108"/>
      <c r="AB27" s="105"/>
      <c r="AC27" s="395"/>
      <c r="AD27" s="111" t="s">
        <v>84</v>
      </c>
      <c r="AE27" s="345">
        <v>0.1</v>
      </c>
      <c r="AF27" s="345"/>
      <c r="AG27" s="438"/>
      <c r="AH27" s="109"/>
      <c r="AI27" s="110"/>
      <c r="AJ27" s="128">
        <f t="shared" si="6"/>
        <v>0.42000000000000004</v>
      </c>
      <c r="AO27" s="410" t="s">
        <v>136</v>
      </c>
      <c r="AP27" s="23" t="s">
        <v>137</v>
      </c>
      <c r="AQ27" s="23">
        <v>78</v>
      </c>
      <c r="AR27" s="75">
        <v>5</v>
      </c>
      <c r="AS27" s="74" t="s">
        <v>19</v>
      </c>
    </row>
    <row r="28" spans="1:45" s="40" customFormat="1" ht="18.75" customHeight="1">
      <c r="A28" s="395"/>
      <c r="B28" s="112" t="s">
        <v>82</v>
      </c>
      <c r="C28" s="345">
        <v>0.7</v>
      </c>
      <c r="D28" s="345"/>
      <c r="E28" s="346"/>
      <c r="F28" s="104"/>
      <c r="G28" s="105"/>
      <c r="H28" s="408"/>
      <c r="I28" s="112" t="s">
        <v>82</v>
      </c>
      <c r="J28" s="345">
        <v>0.5</v>
      </c>
      <c r="K28" s="345"/>
      <c r="L28" s="346"/>
      <c r="M28" s="106"/>
      <c r="N28" s="105"/>
      <c r="O28" s="408"/>
      <c r="P28" s="112" t="s">
        <v>82</v>
      </c>
      <c r="Q28" s="345">
        <v>0.5</v>
      </c>
      <c r="R28" s="345"/>
      <c r="S28" s="346"/>
      <c r="T28" s="106"/>
      <c r="U28" s="107"/>
      <c r="V28" s="341"/>
      <c r="W28" s="169" t="s">
        <v>83</v>
      </c>
      <c r="X28" s="345">
        <v>0.5</v>
      </c>
      <c r="Y28" s="345"/>
      <c r="Z28" s="346"/>
      <c r="AA28" s="108"/>
      <c r="AB28" s="105"/>
      <c r="AC28" s="395"/>
      <c r="AD28" s="112" t="s">
        <v>83</v>
      </c>
      <c r="AE28" s="345">
        <v>0.5</v>
      </c>
      <c r="AF28" s="345"/>
      <c r="AG28" s="438"/>
      <c r="AH28" s="109"/>
      <c r="AI28" s="110"/>
      <c r="AJ28" s="128">
        <f t="shared" si="6"/>
        <v>0.54</v>
      </c>
      <c r="AO28" s="411"/>
      <c r="AP28" s="23" t="s">
        <v>138</v>
      </c>
      <c r="AQ28" s="23">
        <v>32</v>
      </c>
      <c r="AR28" s="75" t="s">
        <v>20</v>
      </c>
      <c r="AS28" s="74" t="s">
        <v>0</v>
      </c>
    </row>
    <row r="29" spans="1:45" s="40" customFormat="1" ht="18.75" customHeight="1">
      <c r="A29" s="395"/>
      <c r="B29" s="103" t="s">
        <v>85</v>
      </c>
      <c r="C29" s="345">
        <v>0</v>
      </c>
      <c r="D29" s="345"/>
      <c r="E29" s="346"/>
      <c r="F29" s="104"/>
      <c r="G29" s="105"/>
      <c r="H29" s="408"/>
      <c r="I29" s="103" t="s">
        <v>85</v>
      </c>
      <c r="J29" s="345">
        <v>1</v>
      </c>
      <c r="K29" s="345"/>
      <c r="L29" s="346"/>
      <c r="M29" s="106"/>
      <c r="N29" s="105"/>
      <c r="O29" s="408"/>
      <c r="P29" s="103" t="s">
        <v>85</v>
      </c>
      <c r="Q29" s="345">
        <v>1</v>
      </c>
      <c r="R29" s="345"/>
      <c r="S29" s="346"/>
      <c r="T29" s="106"/>
      <c r="U29" s="107"/>
      <c r="V29" s="341"/>
      <c r="W29" s="167" t="s">
        <v>85</v>
      </c>
      <c r="X29" s="345">
        <v>1</v>
      </c>
      <c r="Y29" s="345"/>
      <c r="Z29" s="346"/>
      <c r="AA29" s="108"/>
      <c r="AB29" s="105"/>
      <c r="AC29" s="395"/>
      <c r="AD29" s="103" t="s">
        <v>85</v>
      </c>
      <c r="AE29" s="345">
        <v>1</v>
      </c>
      <c r="AF29" s="345"/>
      <c r="AG29" s="438"/>
      <c r="AH29" s="109"/>
      <c r="AI29" s="110"/>
      <c r="AJ29" s="128">
        <f t="shared" si="6"/>
        <v>0.8</v>
      </c>
      <c r="AO29" s="411"/>
      <c r="AP29" s="23" t="s">
        <v>139</v>
      </c>
      <c r="AQ29" s="23">
        <v>6</v>
      </c>
      <c r="AR29" s="75">
        <f>ROUND($AF$1*AQ29/1000,1)</f>
        <v>0.4</v>
      </c>
      <c r="AS29" s="74" t="s">
        <v>0</v>
      </c>
    </row>
    <row r="30" spans="1:45" s="40" customFormat="1" ht="18.75" customHeight="1">
      <c r="A30" s="395"/>
      <c r="B30" s="103" t="s">
        <v>86</v>
      </c>
      <c r="C30" s="345">
        <v>0.5</v>
      </c>
      <c r="D30" s="345"/>
      <c r="E30" s="346"/>
      <c r="F30" s="104"/>
      <c r="G30" s="105"/>
      <c r="H30" s="408"/>
      <c r="I30" s="103" t="s">
        <v>86</v>
      </c>
      <c r="J30" s="345">
        <v>0</v>
      </c>
      <c r="K30" s="345"/>
      <c r="L30" s="346"/>
      <c r="M30" s="113"/>
      <c r="N30" s="105"/>
      <c r="O30" s="408"/>
      <c r="P30" s="103" t="s">
        <v>86</v>
      </c>
      <c r="Q30" s="345">
        <v>0.5</v>
      </c>
      <c r="R30" s="345"/>
      <c r="S30" s="346"/>
      <c r="T30" s="106"/>
      <c r="U30" s="107"/>
      <c r="V30" s="341"/>
      <c r="W30" s="167" t="s">
        <v>86</v>
      </c>
      <c r="X30" s="345">
        <v>0.3</v>
      </c>
      <c r="Y30" s="345"/>
      <c r="Z30" s="346"/>
      <c r="AA30" s="108"/>
      <c r="AB30" s="105"/>
      <c r="AC30" s="395"/>
      <c r="AD30" s="103" t="s">
        <v>86</v>
      </c>
      <c r="AE30" s="345">
        <v>0.6</v>
      </c>
      <c r="AF30" s="345"/>
      <c r="AG30" s="438"/>
      <c r="AH30" s="109"/>
      <c r="AI30" s="110"/>
      <c r="AJ30" s="128">
        <f t="shared" si="6"/>
        <v>0.38</v>
      </c>
      <c r="AO30" s="411"/>
      <c r="AP30" s="23" t="s">
        <v>140</v>
      </c>
      <c r="AQ30" s="23">
        <v>32</v>
      </c>
      <c r="AR30" s="75">
        <f>ROUND($AF$1*AQ30/1000,0)</f>
        <v>2</v>
      </c>
      <c r="AS30" s="74" t="s">
        <v>0</v>
      </c>
    </row>
    <row r="31" spans="1:45" s="40" customFormat="1" ht="18.75" customHeight="1" thickBot="1">
      <c r="A31" s="396"/>
      <c r="B31" s="114" t="s">
        <v>87</v>
      </c>
      <c r="C31" s="335">
        <f>C25*70+C26*75+C27*25+C28*45+C30*120+C29*60</f>
        <v>311.5</v>
      </c>
      <c r="D31" s="335"/>
      <c r="E31" s="336"/>
      <c r="F31" s="115"/>
      <c r="G31" s="116"/>
      <c r="H31" s="409"/>
      <c r="I31" s="114" t="s">
        <v>87</v>
      </c>
      <c r="J31" s="335">
        <f>J25*70+J26*75+J27*25+J28*45+J30*120+J29*60</f>
        <v>279.5</v>
      </c>
      <c r="K31" s="335"/>
      <c r="L31" s="336"/>
      <c r="M31" s="117"/>
      <c r="N31" s="116"/>
      <c r="O31" s="409"/>
      <c r="P31" s="114" t="s">
        <v>87</v>
      </c>
      <c r="Q31" s="335">
        <f>Q25*70+Q26*75+Q27*25+Q28*45+Q30*120+Q29*60</f>
        <v>352.5</v>
      </c>
      <c r="R31" s="335"/>
      <c r="S31" s="336"/>
      <c r="T31" s="117"/>
      <c r="U31" s="118"/>
      <c r="V31" s="342"/>
      <c r="W31" s="170" t="s">
        <v>87</v>
      </c>
      <c r="X31" s="335">
        <f>X25*70+X26*75+X27*25+X28*45+X30*120+X29*60</f>
        <v>345</v>
      </c>
      <c r="Y31" s="335"/>
      <c r="Z31" s="336"/>
      <c r="AA31" s="119"/>
      <c r="AB31" s="116"/>
      <c r="AC31" s="396"/>
      <c r="AD31" s="114" t="s">
        <v>87</v>
      </c>
      <c r="AE31" s="335">
        <f>AE25*70+AE26*75+AE27*25+AE28*45+AE30*120+AE29*60</f>
        <v>334.5</v>
      </c>
      <c r="AF31" s="335"/>
      <c r="AG31" s="441"/>
      <c r="AH31" s="120"/>
      <c r="AI31" s="121"/>
      <c r="AJ31" s="128">
        <f t="shared" si="6"/>
        <v>324.6</v>
      </c>
      <c r="AO31" s="411"/>
      <c r="AP31" s="23" t="s">
        <v>36</v>
      </c>
      <c r="AQ31" s="23">
        <v>18</v>
      </c>
      <c r="AR31" s="75">
        <f>ROUND($AF$1*AQ31/1000,1)</f>
        <v>1.3</v>
      </c>
      <c r="AS31" s="74" t="s">
        <v>0</v>
      </c>
    </row>
    <row r="32" spans="1:50" s="50" customFormat="1" ht="18.75" customHeight="1">
      <c r="A32" s="81"/>
      <c r="B32" s="82"/>
      <c r="C32" s="82"/>
      <c r="D32" s="122"/>
      <c r="E32" s="122"/>
      <c r="F32" s="83"/>
      <c r="G32" s="82"/>
      <c r="H32" s="84"/>
      <c r="I32" s="82"/>
      <c r="J32" s="82"/>
      <c r="K32" s="122"/>
      <c r="L32" s="122"/>
      <c r="M32" s="83"/>
      <c r="N32" s="82"/>
      <c r="O32" s="85"/>
      <c r="P32" s="81"/>
      <c r="Q32" s="81"/>
      <c r="R32" s="89"/>
      <c r="S32" s="89"/>
      <c r="T32" s="83"/>
      <c r="U32" s="82"/>
      <c r="V32" s="84"/>
      <c r="W32" s="81"/>
      <c r="X32" s="81"/>
      <c r="Y32" s="89"/>
      <c r="Z32" s="89"/>
      <c r="AA32" s="83"/>
      <c r="AB32" s="82"/>
      <c r="AC32" s="81"/>
      <c r="AD32" s="82"/>
      <c r="AE32" s="82"/>
      <c r="AF32" s="122"/>
      <c r="AG32" s="122"/>
      <c r="AH32" s="83"/>
      <c r="AI32" s="82"/>
      <c r="AO32" s="411"/>
      <c r="AP32" s="59" t="s">
        <v>141</v>
      </c>
      <c r="AQ32" s="23">
        <v>5</v>
      </c>
      <c r="AR32" s="75">
        <v>1</v>
      </c>
      <c r="AS32" s="74" t="s">
        <v>18</v>
      </c>
      <c r="AT32" s="23"/>
      <c r="AU32" s="75"/>
      <c r="AV32" s="74"/>
      <c r="AW32" s="51"/>
      <c r="AX32" s="52"/>
    </row>
    <row r="33" spans="1:61" s="50" customFormat="1" ht="19.5" customHeight="1">
      <c r="A33" s="373" t="s">
        <v>50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123"/>
      <c r="AJ33" s="64"/>
      <c r="AK33" s="64"/>
      <c r="AL33" s="65"/>
      <c r="AM33" s="65"/>
      <c r="AN33" s="65"/>
      <c r="AO33" s="411"/>
      <c r="AP33" s="59" t="s">
        <v>118</v>
      </c>
      <c r="AQ33" s="23">
        <v>25</v>
      </c>
      <c r="AR33" s="75">
        <f>ROUND($AF$1*AQ33/1000,1)</f>
        <v>1.9</v>
      </c>
      <c r="AS33" s="74" t="s">
        <v>0</v>
      </c>
      <c r="AT33" s="23"/>
      <c r="AU33" s="92"/>
      <c r="AV33" s="97"/>
      <c r="AW33" s="51"/>
      <c r="AX33" s="52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</row>
    <row r="34" spans="1:61" s="50" customFormat="1" ht="22.5" customHeight="1">
      <c r="A34" s="385" t="s">
        <v>61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124"/>
      <c r="AJ34" s="66"/>
      <c r="AK34" s="66"/>
      <c r="AL34" s="65"/>
      <c r="AM34" s="65"/>
      <c r="AN34" s="65"/>
      <c r="AO34" s="411"/>
      <c r="AP34" s="23" t="s">
        <v>119</v>
      </c>
      <c r="AQ34" s="59">
        <v>0.1</v>
      </c>
      <c r="AR34" s="75">
        <v>1</v>
      </c>
      <c r="AS34" s="74" t="s">
        <v>18</v>
      </c>
      <c r="AT34" s="23"/>
      <c r="AU34" s="92"/>
      <c r="AV34" s="97"/>
      <c r="AW34" s="51"/>
      <c r="AX34" s="52">
        <f>AU34*AW34</f>
        <v>0</v>
      </c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</row>
    <row r="35" spans="41:45" ht="22.5" customHeight="1">
      <c r="AO35" s="411"/>
      <c r="AP35" s="23"/>
      <c r="AQ35" s="59"/>
      <c r="AR35" s="75"/>
      <c r="AS35" s="74"/>
    </row>
    <row r="36" spans="16:45" ht="22.5" customHeight="1">
      <c r="P36" s="415" t="s">
        <v>105</v>
      </c>
      <c r="Q36" s="77" t="s">
        <v>106</v>
      </c>
      <c r="R36" s="77">
        <v>1</v>
      </c>
      <c r="S36" s="78">
        <v>3</v>
      </c>
      <c r="T36" s="146" t="s">
        <v>19</v>
      </c>
      <c r="AO36" s="411"/>
      <c r="AP36" s="23"/>
      <c r="AQ36" s="23"/>
      <c r="AR36" s="75"/>
      <c r="AS36" s="74"/>
    </row>
    <row r="37" spans="16:45" ht="22.5" customHeight="1">
      <c r="P37" s="416"/>
      <c r="Q37" s="56" t="s">
        <v>103</v>
      </c>
      <c r="R37" s="56">
        <v>8</v>
      </c>
      <c r="S37" s="75">
        <f>ROUND($AF$1*R37/1000,1)</f>
        <v>0.6</v>
      </c>
      <c r="T37" s="146" t="s">
        <v>0</v>
      </c>
      <c r="AO37" s="339" t="s">
        <v>38</v>
      </c>
      <c r="AP37" s="339"/>
      <c r="AQ37" s="339"/>
      <c r="AR37" s="339"/>
      <c r="AS37" s="339"/>
    </row>
    <row r="38" spans="16:45" ht="22.5" customHeight="1">
      <c r="P38" s="416"/>
      <c r="Q38" s="56" t="s">
        <v>102</v>
      </c>
      <c r="R38" s="56">
        <v>34</v>
      </c>
      <c r="S38" s="75">
        <f>ROUND($AF$1*R38/1000,1)</f>
        <v>2.5</v>
      </c>
      <c r="T38" s="146" t="s">
        <v>0</v>
      </c>
      <c r="AO38" s="337" t="s">
        <v>89</v>
      </c>
      <c r="AP38" s="58" t="s">
        <v>58</v>
      </c>
      <c r="AQ38" s="29">
        <v>34</v>
      </c>
      <c r="AR38" s="75">
        <f>ROUND($AF$1*AQ38/1000,1)</f>
        <v>2.5</v>
      </c>
      <c r="AS38" s="74" t="s">
        <v>0</v>
      </c>
    </row>
    <row r="39" spans="16:45" ht="22.5" customHeight="1">
      <c r="P39" s="416"/>
      <c r="Q39" s="28" t="s">
        <v>17</v>
      </c>
      <c r="R39" s="56">
        <v>34</v>
      </c>
      <c r="S39" s="75">
        <f>ROUND($AF$1*R39/1000,1)</f>
        <v>2.5</v>
      </c>
      <c r="T39" s="146" t="s">
        <v>0</v>
      </c>
      <c r="AO39" s="338"/>
      <c r="AP39" s="58" t="s">
        <v>92</v>
      </c>
      <c r="AQ39" s="29">
        <v>34</v>
      </c>
      <c r="AR39" s="75">
        <f>ROUND($AF$1*AQ39/1000,1)</f>
        <v>2.5</v>
      </c>
      <c r="AS39" s="74" t="s">
        <v>0</v>
      </c>
    </row>
    <row r="40" spans="16:45" ht="22.5" customHeight="1">
      <c r="P40" s="416"/>
      <c r="Q40" s="58" t="s">
        <v>58</v>
      </c>
      <c r="R40" s="56">
        <v>34</v>
      </c>
      <c r="S40" s="75">
        <f>ROUND($AF$1*R40/1000,1)</f>
        <v>2.5</v>
      </c>
      <c r="T40" s="146" t="s">
        <v>0</v>
      </c>
      <c r="AO40" s="338"/>
      <c r="AP40" s="78" t="s">
        <v>16</v>
      </c>
      <c r="AQ40" s="29">
        <v>34</v>
      </c>
      <c r="AR40" s="75">
        <f>ROUND($AF$1*AQ40/1000,1)</f>
        <v>2.5</v>
      </c>
      <c r="AS40" s="74" t="s">
        <v>0</v>
      </c>
    </row>
    <row r="41" spans="16:45" ht="22.5" customHeight="1">
      <c r="P41" s="416"/>
      <c r="Q41" s="58" t="s">
        <v>67</v>
      </c>
      <c r="R41" s="79"/>
      <c r="S41" s="78" t="s">
        <v>20</v>
      </c>
      <c r="T41" s="146" t="s">
        <v>0</v>
      </c>
      <c r="AO41" s="338"/>
      <c r="AP41" s="162"/>
      <c r="AQ41" s="162"/>
      <c r="AR41" s="75"/>
      <c r="AS41" s="74"/>
    </row>
    <row r="42" spans="16:45" ht="22.5" customHeight="1">
      <c r="P42" s="416"/>
      <c r="Q42" s="80" t="s">
        <v>68</v>
      </c>
      <c r="R42" s="80"/>
      <c r="S42" s="418" t="s">
        <v>98</v>
      </c>
      <c r="T42" s="419"/>
      <c r="AO42" s="338"/>
      <c r="AP42" s="60" t="s">
        <v>12</v>
      </c>
      <c r="AQ42" s="52">
        <v>133</v>
      </c>
      <c r="AR42" s="52">
        <v>4</v>
      </c>
      <c r="AS42" s="61" t="s">
        <v>47</v>
      </c>
    </row>
    <row r="43" spans="16:45" ht="22.5" customHeight="1" thickBot="1">
      <c r="P43" s="417"/>
      <c r="Q43" s="192" t="s">
        <v>104</v>
      </c>
      <c r="R43" s="420" t="s">
        <v>97</v>
      </c>
      <c r="S43" s="420"/>
      <c r="T43" s="421"/>
      <c r="AO43" s="338"/>
      <c r="AP43" s="162"/>
      <c r="AQ43" s="162"/>
      <c r="AR43" s="75"/>
      <c r="AS43" s="74"/>
    </row>
    <row r="44" spans="41:45" ht="22.5" customHeight="1">
      <c r="AO44" s="338"/>
      <c r="AP44" s="162"/>
      <c r="AQ44" s="162"/>
      <c r="AR44" s="75"/>
      <c r="AS44" s="74"/>
    </row>
    <row r="45" spans="41:45" ht="22.5" customHeight="1" thickBot="1">
      <c r="AO45" s="338"/>
      <c r="AP45" s="163"/>
      <c r="AQ45" s="163"/>
      <c r="AR45" s="151"/>
      <c r="AS45" s="164"/>
    </row>
    <row r="46" spans="41:45" ht="22.5" customHeight="1">
      <c r="AO46" s="412" t="s">
        <v>79</v>
      </c>
      <c r="AP46" s="101" t="s">
        <v>80</v>
      </c>
      <c r="AQ46" s="343">
        <v>2.1</v>
      </c>
      <c r="AR46" s="343"/>
      <c r="AS46" s="344"/>
    </row>
    <row r="47" spans="41:45" ht="22.5" customHeight="1">
      <c r="AO47" s="413"/>
      <c r="AP47" s="103" t="s">
        <v>81</v>
      </c>
      <c r="AQ47" s="345">
        <v>0.5</v>
      </c>
      <c r="AR47" s="345"/>
      <c r="AS47" s="346"/>
    </row>
    <row r="48" spans="41:45" ht="22.5" customHeight="1">
      <c r="AO48" s="413"/>
      <c r="AP48" s="111" t="s">
        <v>84</v>
      </c>
      <c r="AQ48" s="345">
        <v>0.5</v>
      </c>
      <c r="AR48" s="345"/>
      <c r="AS48" s="346"/>
    </row>
    <row r="49" spans="41:45" ht="22.5" customHeight="1">
      <c r="AO49" s="413"/>
      <c r="AP49" s="112" t="s">
        <v>82</v>
      </c>
      <c r="AQ49" s="345">
        <v>0.5</v>
      </c>
      <c r="AR49" s="345"/>
      <c r="AS49" s="346"/>
    </row>
    <row r="50" spans="41:45" ht="22.5" customHeight="1">
      <c r="AO50" s="413"/>
      <c r="AP50" s="103" t="s">
        <v>85</v>
      </c>
      <c r="AQ50" s="345">
        <v>1</v>
      </c>
      <c r="AR50" s="345"/>
      <c r="AS50" s="346"/>
    </row>
    <row r="51" spans="41:45" ht="22.5" customHeight="1">
      <c r="AO51" s="413"/>
      <c r="AP51" s="103" t="s">
        <v>86</v>
      </c>
      <c r="AQ51" s="345">
        <v>0.6</v>
      </c>
      <c r="AR51" s="345"/>
      <c r="AS51" s="346"/>
    </row>
    <row r="52" spans="41:45" ht="22.5" customHeight="1" thickBot="1">
      <c r="AO52" s="414"/>
      <c r="AP52" s="114" t="s">
        <v>87</v>
      </c>
      <c r="AQ52" s="335">
        <f>AQ46*70+AQ47*75+AQ48*25+AQ49*45+AQ51*120+AQ50*60</f>
        <v>351.5</v>
      </c>
      <c r="AR52" s="335"/>
      <c r="AS52" s="336"/>
    </row>
  </sheetData>
  <sheetProtection selectLockedCells="1" selectUnlockedCells="1"/>
  <mergeCells count="103">
    <mergeCell ref="X28:Z28"/>
    <mergeCell ref="AE30:AG30"/>
    <mergeCell ref="X27:Z27"/>
    <mergeCell ref="Q28:S28"/>
    <mergeCell ref="A34:AH34"/>
    <mergeCell ref="AE25:AG25"/>
    <mergeCell ref="AA25:AB25"/>
    <mergeCell ref="AC25:AC31"/>
    <mergeCell ref="A33:AH33"/>
    <mergeCell ref="AE29:AG29"/>
    <mergeCell ref="AE31:AG31"/>
    <mergeCell ref="X31:Z31"/>
    <mergeCell ref="J26:L26"/>
    <mergeCell ref="Q29:S29"/>
    <mergeCell ref="A6:A15"/>
    <mergeCell ref="H6:H15"/>
    <mergeCell ref="H16:L16"/>
    <mergeCell ref="A16:E16"/>
    <mergeCell ref="O25:O31"/>
    <mergeCell ref="Q25:S25"/>
    <mergeCell ref="H17:H24"/>
    <mergeCell ref="C31:E31"/>
    <mergeCell ref="A25:A31"/>
    <mergeCell ref="J28:L28"/>
    <mergeCell ref="AE26:AG26"/>
    <mergeCell ref="C25:E25"/>
    <mergeCell ref="F25:G25"/>
    <mergeCell ref="H25:H31"/>
    <mergeCell ref="C29:E29"/>
    <mergeCell ref="X29:Z29"/>
    <mergeCell ref="AE27:AG27"/>
    <mergeCell ref="J29:L29"/>
    <mergeCell ref="C28:E28"/>
    <mergeCell ref="AE28:AG28"/>
    <mergeCell ref="AR8:AR18"/>
    <mergeCell ref="AR19:AR26"/>
    <mergeCell ref="O16:S16"/>
    <mergeCell ref="M25:N25"/>
    <mergeCell ref="AC17:AC24"/>
    <mergeCell ref="AC6:AC15"/>
    <mergeCell ref="AD10:AG10"/>
    <mergeCell ref="AH25:AI25"/>
    <mergeCell ref="Q26:S26"/>
    <mergeCell ref="X26:Z26"/>
    <mergeCell ref="I4:L4"/>
    <mergeCell ref="O2:O4"/>
    <mergeCell ref="J27:L27"/>
    <mergeCell ref="C30:E30"/>
    <mergeCell ref="J30:L30"/>
    <mergeCell ref="Q30:S30"/>
    <mergeCell ref="C27:E27"/>
    <mergeCell ref="C26:E26"/>
    <mergeCell ref="Q27:S27"/>
    <mergeCell ref="J31:L31"/>
    <mergeCell ref="O17:O24"/>
    <mergeCell ref="O6:O15"/>
    <mergeCell ref="H5:L5"/>
    <mergeCell ref="W4:Z4"/>
    <mergeCell ref="K23:L23"/>
    <mergeCell ref="J24:L24"/>
    <mergeCell ref="T25:U25"/>
    <mergeCell ref="V25:V31"/>
    <mergeCell ref="J25:L25"/>
    <mergeCell ref="A1:L1"/>
    <mergeCell ref="P1:AD1"/>
    <mergeCell ref="P4:S4"/>
    <mergeCell ref="AD2:AG2"/>
    <mergeCell ref="AD4:AG4"/>
    <mergeCell ref="AC16:AG16"/>
    <mergeCell ref="A5:E5"/>
    <mergeCell ref="P2:S2"/>
    <mergeCell ref="I2:L2"/>
    <mergeCell ref="AC2:AC4"/>
    <mergeCell ref="A17:A24"/>
    <mergeCell ref="A2:A4"/>
    <mergeCell ref="O5:S5"/>
    <mergeCell ref="B4:E4"/>
    <mergeCell ref="AQ48:AS48"/>
    <mergeCell ref="AC5:AG5"/>
    <mergeCell ref="V5:Z5"/>
    <mergeCell ref="B2:E2"/>
    <mergeCell ref="H2:H4"/>
    <mergeCell ref="V6:V15"/>
    <mergeCell ref="P36:P43"/>
    <mergeCell ref="S42:T42"/>
    <mergeCell ref="R43:T43"/>
    <mergeCell ref="V2:V4"/>
    <mergeCell ref="V17:V24"/>
    <mergeCell ref="W2:Z2"/>
    <mergeCell ref="X25:Z25"/>
    <mergeCell ref="Q31:S31"/>
    <mergeCell ref="X30:Z30"/>
    <mergeCell ref="V16:Z16"/>
    <mergeCell ref="AO27:AO36"/>
    <mergeCell ref="AO37:AS37"/>
    <mergeCell ref="AO38:AO45"/>
    <mergeCell ref="AO46:AO52"/>
    <mergeCell ref="AQ49:AS49"/>
    <mergeCell ref="AQ50:AS50"/>
    <mergeCell ref="AQ51:AS51"/>
    <mergeCell ref="AQ52:AS52"/>
    <mergeCell ref="AQ46:AS46"/>
    <mergeCell ref="AQ47:AS47"/>
  </mergeCells>
  <printOptions horizontalCentered="1"/>
  <pageMargins left="0" right="0" top="0" bottom="0" header="0.5118110236220472" footer="0.5118110236220472"/>
  <pageSetup fitToHeight="0" horizontalDpi="600" verticalDpi="600" orientation="landscape" paperSize="9" scale="8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K66"/>
  <sheetViews>
    <sheetView tabSelected="1" view="pageBreakPreview" zoomScale="78" zoomScaleNormal="50" zoomScaleSheetLayoutView="78" zoomScalePageLayoutView="0" workbookViewId="0" topLeftCell="A1">
      <selection activeCell="AH1" sqref="AH1:AI16384"/>
    </sheetView>
  </sheetViews>
  <sheetFormatPr defaultColWidth="6.125" defaultRowHeight="22.5" customHeight="1"/>
  <cols>
    <col min="1" max="1" width="3.625" style="67" customWidth="1"/>
    <col min="2" max="2" width="20.50390625" style="68" bestFit="1" customWidth="1"/>
    <col min="3" max="3" width="6.125" style="68" hidden="1" customWidth="1"/>
    <col min="4" max="5" width="5.375" style="68" customWidth="1"/>
    <col min="6" max="6" width="6.125" style="69" hidden="1" customWidth="1"/>
    <col min="7" max="7" width="6.125" style="70" hidden="1" customWidth="1"/>
    <col min="8" max="8" width="3.625" style="67" customWidth="1"/>
    <col min="9" max="9" width="19.25390625" style="68" customWidth="1"/>
    <col min="10" max="10" width="6.125" style="68" hidden="1" customWidth="1"/>
    <col min="11" max="12" width="5.375" style="68" customWidth="1"/>
    <col min="13" max="13" width="11.00390625" style="69" hidden="1" customWidth="1"/>
    <col min="14" max="14" width="8.50390625" style="70" hidden="1" customWidth="1"/>
    <col min="15" max="15" width="3.625" style="67" customWidth="1"/>
    <col min="16" max="16" width="16.125" style="68" customWidth="1"/>
    <col min="17" max="17" width="6.125" style="68" hidden="1" customWidth="1"/>
    <col min="18" max="19" width="5.375" style="68" customWidth="1"/>
    <col min="20" max="20" width="6.50390625" style="69" hidden="1" customWidth="1"/>
    <col min="21" max="21" width="6.125" style="70" hidden="1" customWidth="1"/>
    <col min="22" max="22" width="3.625" style="71" customWidth="1"/>
    <col min="23" max="23" width="15.625" style="68" customWidth="1"/>
    <col min="24" max="24" width="6.125" style="68" hidden="1" customWidth="1"/>
    <col min="25" max="26" width="5.375" style="68" customWidth="1"/>
    <col min="27" max="27" width="5.875" style="69" hidden="1" customWidth="1"/>
    <col min="28" max="28" width="6.125" style="70" hidden="1" customWidth="1"/>
    <col min="29" max="29" width="3.625" style="67" customWidth="1"/>
    <col min="30" max="30" width="15.25390625" style="68" customWidth="1"/>
    <col min="31" max="31" width="6.125" style="68" hidden="1" customWidth="1"/>
    <col min="32" max="33" width="5.375" style="68" customWidth="1"/>
    <col min="34" max="34" width="6.125" style="72" hidden="1" customWidth="1"/>
    <col min="35" max="35" width="6.125" style="70" hidden="1" customWidth="1"/>
    <col min="36" max="36" width="8.00390625" style="73" bestFit="1" customWidth="1"/>
    <col min="37" max="37" width="6.25390625" style="73" bestFit="1" customWidth="1"/>
    <col min="38" max="43" width="6.125" style="73" customWidth="1"/>
    <col min="44" max="45" width="6.25390625" style="73" bestFit="1" customWidth="1"/>
    <col min="46" max="51" width="6.125" style="73" customWidth="1"/>
    <col min="52" max="52" width="6.25390625" style="73" bestFit="1" customWidth="1"/>
    <col min="53" max="16384" width="6.125" style="73" customWidth="1"/>
  </cols>
  <sheetData>
    <row r="1" spans="1:35" s="91" customFormat="1" ht="30" customHeight="1">
      <c r="A1" s="347" t="str">
        <f>'第二週'!A1</f>
        <v>僑愛國民小學112學年度下學期第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227"/>
      <c r="N1" s="227"/>
      <c r="O1" s="214">
        <f>'第二週'!O1+1</f>
        <v>5</v>
      </c>
      <c r="P1" s="348" t="s">
        <v>245</v>
      </c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467">
        <v>73</v>
      </c>
      <c r="AF1" s="467"/>
      <c r="AG1" s="467"/>
      <c r="AH1" s="129"/>
      <c r="AI1" s="130"/>
    </row>
    <row r="2" spans="1:35" s="40" customFormat="1" ht="18.75" customHeight="1">
      <c r="A2" s="448" t="s">
        <v>23</v>
      </c>
      <c r="B2" s="450">
        <f>'第二週'!B2+7</f>
        <v>45362</v>
      </c>
      <c r="C2" s="450"/>
      <c r="D2" s="450"/>
      <c r="E2" s="450"/>
      <c r="F2" s="131"/>
      <c r="G2" s="132"/>
      <c r="H2" s="472" t="s">
        <v>23</v>
      </c>
      <c r="I2" s="474">
        <f>B2+1</f>
        <v>45363</v>
      </c>
      <c r="J2" s="474"/>
      <c r="K2" s="474"/>
      <c r="L2" s="474"/>
      <c r="M2" s="133"/>
      <c r="N2" s="134"/>
      <c r="O2" s="472" t="s">
        <v>23</v>
      </c>
      <c r="P2" s="458">
        <f>I2+1</f>
        <v>45364</v>
      </c>
      <c r="Q2" s="458"/>
      <c r="R2" s="458"/>
      <c r="S2" s="458"/>
      <c r="T2" s="135"/>
      <c r="U2" s="136"/>
      <c r="V2" s="472" t="s">
        <v>23</v>
      </c>
      <c r="W2" s="473">
        <f>P2+1</f>
        <v>45365</v>
      </c>
      <c r="X2" s="473"/>
      <c r="Y2" s="473"/>
      <c r="Z2" s="473"/>
      <c r="AA2" s="137"/>
      <c r="AB2" s="138"/>
      <c r="AC2" s="448" t="s">
        <v>23</v>
      </c>
      <c r="AD2" s="459">
        <f>W2+1</f>
        <v>45366</v>
      </c>
      <c r="AE2" s="459"/>
      <c r="AF2" s="459"/>
      <c r="AG2" s="460"/>
      <c r="AH2" s="139"/>
      <c r="AI2" s="140"/>
    </row>
    <row r="3" spans="1:35" s="40" customFormat="1" ht="18.75" customHeight="1">
      <c r="A3" s="449"/>
      <c r="B3" s="41" t="s">
        <v>88</v>
      </c>
      <c r="C3" s="41" t="s">
        <v>25</v>
      </c>
      <c r="D3" s="42" t="s">
        <v>26</v>
      </c>
      <c r="E3" s="42"/>
      <c r="F3" s="43" t="s">
        <v>28</v>
      </c>
      <c r="G3" s="41" t="s">
        <v>29</v>
      </c>
      <c r="H3" s="359"/>
      <c r="I3" s="41" t="s">
        <v>24</v>
      </c>
      <c r="J3" s="41" t="s">
        <v>25</v>
      </c>
      <c r="K3" s="42" t="s">
        <v>26</v>
      </c>
      <c r="L3" s="42" t="s">
        <v>27</v>
      </c>
      <c r="M3" s="43" t="s">
        <v>28</v>
      </c>
      <c r="N3" s="41" t="s">
        <v>29</v>
      </c>
      <c r="O3" s="359"/>
      <c r="P3" s="41" t="s">
        <v>24</v>
      </c>
      <c r="Q3" s="41" t="s">
        <v>25</v>
      </c>
      <c r="R3" s="42" t="s">
        <v>26</v>
      </c>
      <c r="S3" s="42" t="s">
        <v>27</v>
      </c>
      <c r="T3" s="43" t="s">
        <v>28</v>
      </c>
      <c r="U3" s="41" t="s">
        <v>29</v>
      </c>
      <c r="V3" s="359"/>
      <c r="W3" s="41" t="s">
        <v>24</v>
      </c>
      <c r="X3" s="41" t="s">
        <v>25</v>
      </c>
      <c r="Y3" s="42" t="s">
        <v>26</v>
      </c>
      <c r="Z3" s="42" t="s">
        <v>27</v>
      </c>
      <c r="AA3" s="43" t="s">
        <v>28</v>
      </c>
      <c r="AB3" s="44" t="s">
        <v>29</v>
      </c>
      <c r="AC3" s="449"/>
      <c r="AD3" s="41" t="s">
        <v>24</v>
      </c>
      <c r="AE3" s="41" t="s">
        <v>25</v>
      </c>
      <c r="AF3" s="48" t="s">
        <v>26</v>
      </c>
      <c r="AG3" s="141" t="s">
        <v>27</v>
      </c>
      <c r="AH3" s="142" t="s">
        <v>28</v>
      </c>
      <c r="AI3" s="143" t="s">
        <v>29</v>
      </c>
    </row>
    <row r="4" spans="1:35" s="50" customFormat="1" ht="18.75" customHeight="1" hidden="1">
      <c r="A4" s="449"/>
      <c r="B4" s="355" t="s">
        <v>30</v>
      </c>
      <c r="C4" s="355"/>
      <c r="D4" s="355"/>
      <c r="E4" s="355"/>
      <c r="F4" s="45"/>
      <c r="G4" s="46"/>
      <c r="H4" s="359"/>
      <c r="I4" s="355" t="s">
        <v>31</v>
      </c>
      <c r="J4" s="355"/>
      <c r="K4" s="355"/>
      <c r="L4" s="355"/>
      <c r="M4" s="45"/>
      <c r="N4" s="46"/>
      <c r="O4" s="359"/>
      <c r="P4" s="355" t="s">
        <v>32</v>
      </c>
      <c r="Q4" s="355"/>
      <c r="R4" s="355"/>
      <c r="S4" s="355"/>
      <c r="T4" s="43"/>
      <c r="U4" s="42"/>
      <c r="V4" s="359"/>
      <c r="W4" s="355" t="s">
        <v>33</v>
      </c>
      <c r="X4" s="355"/>
      <c r="Y4" s="355"/>
      <c r="Z4" s="355"/>
      <c r="AA4" s="45"/>
      <c r="AB4" s="47"/>
      <c r="AC4" s="468"/>
      <c r="AD4" s="461" t="s">
        <v>34</v>
      </c>
      <c r="AE4" s="461"/>
      <c r="AF4" s="461"/>
      <c r="AG4" s="462"/>
      <c r="AH4" s="144"/>
      <c r="AI4" s="46"/>
    </row>
    <row r="5" spans="1:43" s="50" customFormat="1" ht="18.75" customHeight="1">
      <c r="A5" s="451" t="s">
        <v>35</v>
      </c>
      <c r="B5" s="353"/>
      <c r="C5" s="353"/>
      <c r="D5" s="353"/>
      <c r="E5" s="353"/>
      <c r="F5" s="86"/>
      <c r="G5" s="87"/>
      <c r="H5" s="358" t="s">
        <v>35</v>
      </c>
      <c r="I5" s="353"/>
      <c r="J5" s="353"/>
      <c r="K5" s="353"/>
      <c r="L5" s="353"/>
      <c r="M5" s="86"/>
      <c r="N5" s="87"/>
      <c r="O5" s="358" t="s">
        <v>35</v>
      </c>
      <c r="P5" s="353"/>
      <c r="Q5" s="353"/>
      <c r="R5" s="353"/>
      <c r="S5" s="353"/>
      <c r="T5" s="86"/>
      <c r="U5" s="87"/>
      <c r="V5" s="358" t="s">
        <v>35</v>
      </c>
      <c r="W5" s="353"/>
      <c r="X5" s="353"/>
      <c r="Y5" s="353"/>
      <c r="Z5" s="353"/>
      <c r="AA5" s="86"/>
      <c r="AB5" s="88"/>
      <c r="AC5" s="463" t="s">
        <v>35</v>
      </c>
      <c r="AD5" s="464"/>
      <c r="AE5" s="464"/>
      <c r="AF5" s="464"/>
      <c r="AG5" s="465"/>
      <c r="AH5" s="45"/>
      <c r="AI5" s="46"/>
      <c r="AM5" s="410" t="s">
        <v>180</v>
      </c>
      <c r="AN5" s="53" t="s">
        <v>191</v>
      </c>
      <c r="AO5" s="53">
        <v>18</v>
      </c>
      <c r="AP5" s="75">
        <f>ROUND($AF$1*AO5/250,0)</f>
        <v>0</v>
      </c>
      <c r="AQ5" s="75" t="s">
        <v>19</v>
      </c>
    </row>
    <row r="6" spans="1:43" s="50" customFormat="1" ht="18.75" customHeight="1">
      <c r="A6" s="337" t="s">
        <v>166</v>
      </c>
      <c r="B6" s="205" t="s">
        <v>114</v>
      </c>
      <c r="C6" s="171">
        <v>1</v>
      </c>
      <c r="D6" s="313">
        <v>90</v>
      </c>
      <c r="E6" s="78" t="s">
        <v>14</v>
      </c>
      <c r="F6" s="261"/>
      <c r="G6" s="52">
        <f aca="true" t="shared" si="0" ref="G6:G24">D6*F6</f>
        <v>0</v>
      </c>
      <c r="H6" s="469" t="s">
        <v>282</v>
      </c>
      <c r="I6" s="23" t="s">
        <v>270</v>
      </c>
      <c r="J6" s="23">
        <v>0.8</v>
      </c>
      <c r="K6" s="92">
        <f>ROUND($AE$1*J6/5,0)</f>
        <v>12</v>
      </c>
      <c r="L6" s="75" t="s">
        <v>19</v>
      </c>
      <c r="M6" s="261"/>
      <c r="N6" s="52">
        <f aca="true" t="shared" si="1" ref="N6:N24">K6*M6</f>
        <v>0</v>
      </c>
      <c r="O6" s="410" t="s">
        <v>180</v>
      </c>
      <c r="P6" s="53" t="s">
        <v>191</v>
      </c>
      <c r="Q6" s="53">
        <v>15</v>
      </c>
      <c r="R6" s="75">
        <f>ROUND($AE$1*Q6/250,0)</f>
        <v>4</v>
      </c>
      <c r="S6" s="75" t="s">
        <v>19</v>
      </c>
      <c r="T6" s="261"/>
      <c r="U6" s="52">
        <f aca="true" t="shared" si="2" ref="U6:U24">R6*T6</f>
        <v>0</v>
      </c>
      <c r="V6" s="442" t="s">
        <v>280</v>
      </c>
      <c r="W6" s="211" t="s">
        <v>281</v>
      </c>
      <c r="X6" s="23">
        <v>34</v>
      </c>
      <c r="Y6" s="23">
        <f>ROUND($AE$1*X6/1000,1)</f>
        <v>2.5</v>
      </c>
      <c r="Z6" s="23" t="s">
        <v>0</v>
      </c>
      <c r="AA6" s="261"/>
      <c r="AB6" s="52">
        <f aca="true" t="shared" si="3" ref="AB6:AB24">Y6*AA6</f>
        <v>0</v>
      </c>
      <c r="AC6" s="337" t="s">
        <v>208</v>
      </c>
      <c r="AD6" s="53" t="s">
        <v>236</v>
      </c>
      <c r="AE6" s="53">
        <v>21</v>
      </c>
      <c r="AF6" s="75">
        <f>ROUND($AE$1*AE6/1000,1)</f>
        <v>1.5</v>
      </c>
      <c r="AG6" s="74" t="s">
        <v>0</v>
      </c>
      <c r="AH6" s="261"/>
      <c r="AI6" s="52">
        <f>AF6*AH6</f>
        <v>0</v>
      </c>
      <c r="AM6" s="411"/>
      <c r="AN6" s="53" t="s">
        <v>1</v>
      </c>
      <c r="AO6" s="53">
        <v>25</v>
      </c>
      <c r="AP6" s="75">
        <f>ROUND($AF$1*AO6/1000,1)</f>
        <v>0</v>
      </c>
      <c r="AQ6" s="75" t="s">
        <v>0</v>
      </c>
    </row>
    <row r="7" spans="1:43" s="50" customFormat="1" ht="18.75" customHeight="1">
      <c r="A7" s="338"/>
      <c r="B7" s="266" t="s">
        <v>196</v>
      </c>
      <c r="C7" s="267">
        <v>128</v>
      </c>
      <c r="D7" s="23">
        <f>ROUND($AE$1*C7/1000,0)</f>
        <v>9</v>
      </c>
      <c r="E7" s="146" t="s">
        <v>47</v>
      </c>
      <c r="F7" s="261"/>
      <c r="G7" s="52">
        <f t="shared" si="0"/>
        <v>0</v>
      </c>
      <c r="H7" s="470"/>
      <c r="I7" s="23" t="s">
        <v>187</v>
      </c>
      <c r="J7" s="23">
        <v>0.82</v>
      </c>
      <c r="K7" s="92">
        <f>ROUND($AE$1*J7/10,1)</f>
        <v>6</v>
      </c>
      <c r="L7" s="75" t="s">
        <v>21</v>
      </c>
      <c r="M7" s="261"/>
      <c r="N7" s="52">
        <f t="shared" si="1"/>
        <v>0</v>
      </c>
      <c r="O7" s="411"/>
      <c r="P7" s="53" t="s">
        <v>1</v>
      </c>
      <c r="Q7" s="53">
        <v>28</v>
      </c>
      <c r="R7" s="75">
        <f>ROUND($AE$1*Q7/1000,1)</f>
        <v>2</v>
      </c>
      <c r="S7" s="75" t="s">
        <v>0</v>
      </c>
      <c r="T7" s="261"/>
      <c r="U7" s="52">
        <f t="shared" si="2"/>
        <v>0</v>
      </c>
      <c r="V7" s="443"/>
      <c r="W7" s="23" t="s">
        <v>90</v>
      </c>
      <c r="X7" s="23">
        <v>1</v>
      </c>
      <c r="Y7" s="23" t="s">
        <v>20</v>
      </c>
      <c r="Z7" s="23" t="s">
        <v>0</v>
      </c>
      <c r="AA7" s="261"/>
      <c r="AB7" s="52"/>
      <c r="AC7" s="338"/>
      <c r="AD7" s="53" t="s">
        <v>78</v>
      </c>
      <c r="AE7" s="53">
        <v>0.5</v>
      </c>
      <c r="AF7" s="75" t="s">
        <v>20</v>
      </c>
      <c r="AG7" s="74" t="s">
        <v>0</v>
      </c>
      <c r="AH7" s="261"/>
      <c r="AI7" s="52"/>
      <c r="AM7" s="411"/>
      <c r="AN7" s="53" t="s">
        <v>63</v>
      </c>
      <c r="AO7" s="53">
        <v>8</v>
      </c>
      <c r="AP7" s="75">
        <f>ROUND($AF$1*AO7/1000,1)</f>
        <v>0</v>
      </c>
      <c r="AQ7" s="75" t="s">
        <v>0</v>
      </c>
    </row>
    <row r="8" spans="1:43" s="50" customFormat="1" ht="18.75" customHeight="1">
      <c r="A8" s="338"/>
      <c r="B8" s="269"/>
      <c r="C8" s="156"/>
      <c r="D8" s="92"/>
      <c r="E8" s="97"/>
      <c r="F8" s="261"/>
      <c r="G8" s="52">
        <f t="shared" si="0"/>
        <v>0</v>
      </c>
      <c r="H8" s="470"/>
      <c r="I8" s="53" t="s">
        <v>63</v>
      </c>
      <c r="J8" s="23">
        <v>14</v>
      </c>
      <c r="K8" s="23">
        <f>ROUND($AE$1*J8/1000,1)</f>
        <v>1</v>
      </c>
      <c r="L8" s="23" t="s">
        <v>0</v>
      </c>
      <c r="M8" s="261"/>
      <c r="N8" s="52">
        <f t="shared" si="1"/>
        <v>0</v>
      </c>
      <c r="O8" s="411"/>
      <c r="P8" s="53" t="s">
        <v>63</v>
      </c>
      <c r="Q8" s="53">
        <v>8</v>
      </c>
      <c r="R8" s="75">
        <f>ROUND($AE$1*Q8/1000,1)</f>
        <v>0.6</v>
      </c>
      <c r="S8" s="75" t="s">
        <v>0</v>
      </c>
      <c r="T8" s="261"/>
      <c r="U8" s="52">
        <f t="shared" si="2"/>
        <v>0</v>
      </c>
      <c r="V8" s="443"/>
      <c r="W8" s="23" t="s">
        <v>71</v>
      </c>
      <c r="X8" s="23">
        <v>1</v>
      </c>
      <c r="Y8" s="23">
        <f>ROUND($AE$1*X8/1000,1)</f>
        <v>0.1</v>
      </c>
      <c r="Z8" s="23" t="s">
        <v>0</v>
      </c>
      <c r="AA8" s="261"/>
      <c r="AB8" s="52">
        <f t="shared" si="3"/>
        <v>0</v>
      </c>
      <c r="AC8" s="338"/>
      <c r="AD8" s="53" t="s">
        <v>93</v>
      </c>
      <c r="AE8" s="53">
        <v>34</v>
      </c>
      <c r="AF8" s="75">
        <f>ROUND($AE$1*AE8/1000,1)</f>
        <v>2.5</v>
      </c>
      <c r="AG8" s="74" t="s">
        <v>0</v>
      </c>
      <c r="AH8" s="261"/>
      <c r="AI8" s="52">
        <f aca="true" t="shared" si="4" ref="AI8:AI24">AF8*AH8</f>
        <v>0</v>
      </c>
      <c r="AM8" s="411"/>
      <c r="AN8" s="23" t="s">
        <v>126</v>
      </c>
      <c r="AO8" s="53">
        <v>4</v>
      </c>
      <c r="AP8" s="75">
        <f>ROUND($AF$1*AO8/1000,1)</f>
        <v>0</v>
      </c>
      <c r="AQ8" s="75" t="s">
        <v>0</v>
      </c>
    </row>
    <row r="9" spans="1:43" s="50" customFormat="1" ht="18.75" customHeight="1">
      <c r="A9" s="338"/>
      <c r="B9" s="23" t="s">
        <v>73</v>
      </c>
      <c r="C9" s="23">
        <v>0.5</v>
      </c>
      <c r="D9" s="313">
        <v>37</v>
      </c>
      <c r="E9" s="75" t="s">
        <v>74</v>
      </c>
      <c r="F9" s="261"/>
      <c r="G9" s="52"/>
      <c r="H9" s="470"/>
      <c r="I9" s="284" t="s">
        <v>273</v>
      </c>
      <c r="J9" s="147">
        <v>0.8</v>
      </c>
      <c r="K9" s="92">
        <f>ROUND($AE$1*J9/12,0)</f>
        <v>5</v>
      </c>
      <c r="L9" s="160" t="s">
        <v>19</v>
      </c>
      <c r="M9" s="261"/>
      <c r="N9" s="52">
        <f t="shared" si="1"/>
        <v>0</v>
      </c>
      <c r="O9" s="411"/>
      <c r="P9" s="23" t="s">
        <v>126</v>
      </c>
      <c r="Q9" s="53">
        <v>1.5</v>
      </c>
      <c r="R9" s="75">
        <f>ROUND($AE$1*Q9/1000,1)</f>
        <v>0.1</v>
      </c>
      <c r="S9" s="75" t="s">
        <v>0</v>
      </c>
      <c r="T9" s="261"/>
      <c r="U9" s="52">
        <f t="shared" si="2"/>
        <v>0</v>
      </c>
      <c r="V9" s="443"/>
      <c r="W9" s="23" t="s">
        <v>164</v>
      </c>
      <c r="X9" s="23">
        <v>2</v>
      </c>
      <c r="Y9" s="23" t="s">
        <v>20</v>
      </c>
      <c r="Z9" s="23" t="s">
        <v>0</v>
      </c>
      <c r="AA9" s="261"/>
      <c r="AB9" s="52"/>
      <c r="AC9" s="338"/>
      <c r="AD9" s="53" t="s">
        <v>37</v>
      </c>
      <c r="AE9" s="53">
        <v>10</v>
      </c>
      <c r="AF9" s="75">
        <f>ROUND($AE$1*AE9/1000,1)</f>
        <v>0.7</v>
      </c>
      <c r="AG9" s="74" t="s">
        <v>0</v>
      </c>
      <c r="AH9" s="261"/>
      <c r="AI9" s="52">
        <f t="shared" si="4"/>
        <v>0</v>
      </c>
      <c r="AM9" s="411"/>
      <c r="AN9" s="53" t="s">
        <v>127</v>
      </c>
      <c r="AO9" s="53">
        <v>10</v>
      </c>
      <c r="AP9" s="75" t="s">
        <v>20</v>
      </c>
      <c r="AQ9" s="75" t="s">
        <v>0</v>
      </c>
    </row>
    <row r="10" spans="1:46" s="50" customFormat="1" ht="18.75" customHeight="1">
      <c r="A10" s="338"/>
      <c r="B10" s="149" t="s">
        <v>230</v>
      </c>
      <c r="C10" s="149"/>
      <c r="D10" s="92"/>
      <c r="E10" s="92"/>
      <c r="F10" s="261"/>
      <c r="G10" s="52">
        <f t="shared" si="0"/>
        <v>0</v>
      </c>
      <c r="H10" s="470"/>
      <c r="I10" s="149"/>
      <c r="J10" s="53"/>
      <c r="K10" s="92"/>
      <c r="L10" s="75"/>
      <c r="M10" s="261"/>
      <c r="N10" s="52">
        <f t="shared" si="1"/>
        <v>0</v>
      </c>
      <c r="O10" s="411"/>
      <c r="P10" s="53" t="s">
        <v>127</v>
      </c>
      <c r="Q10" s="53">
        <v>10</v>
      </c>
      <c r="R10" s="75">
        <v>3</v>
      </c>
      <c r="S10" s="75" t="s">
        <v>0</v>
      </c>
      <c r="T10" s="261"/>
      <c r="U10" s="52">
        <f t="shared" si="2"/>
        <v>0</v>
      </c>
      <c r="V10" s="443"/>
      <c r="W10" s="53" t="s">
        <v>215</v>
      </c>
      <c r="X10" s="53">
        <v>69</v>
      </c>
      <c r="Y10" s="23">
        <f>ROUND($AE$1*X10/1000,1)</f>
        <v>5</v>
      </c>
      <c r="Z10" s="74" t="s">
        <v>0</v>
      </c>
      <c r="AA10" s="261"/>
      <c r="AB10" s="52">
        <f t="shared" si="3"/>
        <v>0</v>
      </c>
      <c r="AC10" s="338"/>
      <c r="AD10" s="53" t="s">
        <v>63</v>
      </c>
      <c r="AE10" s="53">
        <v>3.5</v>
      </c>
      <c r="AF10" s="75">
        <f>ROUND($AE$1*AE10/1000,1)</f>
        <v>0.3</v>
      </c>
      <c r="AG10" s="74" t="s">
        <v>0</v>
      </c>
      <c r="AH10" s="261"/>
      <c r="AI10" s="52">
        <f t="shared" si="4"/>
        <v>0</v>
      </c>
      <c r="AM10" s="411"/>
      <c r="AN10" s="53" t="s">
        <v>22</v>
      </c>
      <c r="AO10" s="53">
        <v>8</v>
      </c>
      <c r="AP10" s="75">
        <f>ROUND($AF$1*AO10/1000,1)</f>
        <v>0</v>
      </c>
      <c r="AQ10" s="75" t="s">
        <v>0</v>
      </c>
      <c r="AR10" s="23">
        <v>62</v>
      </c>
      <c r="AS10" s="75">
        <v>0.9</v>
      </c>
      <c r="AT10" s="74" t="s">
        <v>0</v>
      </c>
    </row>
    <row r="11" spans="1:46" s="50" customFormat="1" ht="18.75" customHeight="1">
      <c r="A11" s="338"/>
      <c r="B11" s="23"/>
      <c r="C11" s="23"/>
      <c r="D11" s="52"/>
      <c r="E11" s="52"/>
      <c r="F11" s="261"/>
      <c r="G11" s="52">
        <f t="shared" si="0"/>
        <v>0</v>
      </c>
      <c r="H11" s="470"/>
      <c r="I11" s="149" t="s">
        <v>192</v>
      </c>
      <c r="J11" s="78">
        <v>41</v>
      </c>
      <c r="K11" s="92">
        <f>ROUND($AE$1*J11/1000,1)</f>
        <v>3</v>
      </c>
      <c r="L11" s="78" t="s">
        <v>47</v>
      </c>
      <c r="M11" s="261"/>
      <c r="N11" s="52">
        <f t="shared" si="1"/>
        <v>0</v>
      </c>
      <c r="O11" s="411"/>
      <c r="P11" s="53" t="s">
        <v>22</v>
      </c>
      <c r="Q11" s="53">
        <v>8</v>
      </c>
      <c r="R11" s="75">
        <f>ROUND($AE$1*Q11/1000,1)</f>
        <v>0.6</v>
      </c>
      <c r="S11" s="75" t="s">
        <v>0</v>
      </c>
      <c r="T11" s="261"/>
      <c r="U11" s="52">
        <f t="shared" si="2"/>
        <v>0</v>
      </c>
      <c r="V11" s="443"/>
      <c r="W11" s="23" t="s">
        <v>212</v>
      </c>
      <c r="X11" s="23">
        <v>34</v>
      </c>
      <c r="Y11" s="23">
        <f>ROUND($AE$1*X11/1000,1)</f>
        <v>2.5</v>
      </c>
      <c r="Z11" s="23" t="s">
        <v>0</v>
      </c>
      <c r="AA11" s="261"/>
      <c r="AB11" s="52">
        <f t="shared" si="3"/>
        <v>0</v>
      </c>
      <c r="AC11" s="338"/>
      <c r="AD11" s="53" t="s">
        <v>209</v>
      </c>
      <c r="AE11" s="53">
        <v>1.5</v>
      </c>
      <c r="AF11" s="75">
        <f>ROUND($AE$1*AE11/1000,1)</f>
        <v>0.1</v>
      </c>
      <c r="AG11" s="74" t="s">
        <v>0</v>
      </c>
      <c r="AH11" s="261"/>
      <c r="AI11" s="52">
        <f t="shared" si="4"/>
        <v>0</v>
      </c>
      <c r="AM11" s="411"/>
      <c r="AN11" s="23" t="s">
        <v>113</v>
      </c>
      <c r="AO11" s="23" t="s">
        <v>20</v>
      </c>
      <c r="AP11" s="52">
        <v>3</v>
      </c>
      <c r="AQ11" s="52" t="s">
        <v>19</v>
      </c>
      <c r="AR11" s="23">
        <v>23</v>
      </c>
      <c r="AS11" s="75">
        <v>1.5</v>
      </c>
      <c r="AT11" s="74" t="s">
        <v>0</v>
      </c>
    </row>
    <row r="12" spans="1:46" s="40" customFormat="1" ht="18.75" customHeight="1">
      <c r="A12" s="338"/>
      <c r="B12" s="23"/>
      <c r="C12" s="23"/>
      <c r="D12" s="52"/>
      <c r="E12" s="52"/>
      <c r="F12" s="206"/>
      <c r="G12" s="52">
        <f t="shared" si="0"/>
        <v>0</v>
      </c>
      <c r="H12" s="470"/>
      <c r="I12" s="272" t="s">
        <v>229</v>
      </c>
      <c r="J12" s="78">
        <v>84</v>
      </c>
      <c r="K12" s="312">
        <v>6</v>
      </c>
      <c r="L12" s="78" t="s">
        <v>47</v>
      </c>
      <c r="M12" s="206"/>
      <c r="N12" s="52">
        <f t="shared" si="1"/>
        <v>0</v>
      </c>
      <c r="O12" s="411"/>
      <c r="P12" s="23" t="s">
        <v>113</v>
      </c>
      <c r="Q12" s="23">
        <v>0.2</v>
      </c>
      <c r="R12" s="75">
        <f>ROUND($AE$1*Q12/5,0)</f>
        <v>3</v>
      </c>
      <c r="S12" s="52" t="s">
        <v>19</v>
      </c>
      <c r="T12" s="206"/>
      <c r="U12" s="52">
        <f t="shared" si="2"/>
        <v>0</v>
      </c>
      <c r="V12" s="443"/>
      <c r="W12" s="23"/>
      <c r="X12" s="23"/>
      <c r="Y12" s="23"/>
      <c r="Z12" s="23"/>
      <c r="AA12" s="206"/>
      <c r="AB12" s="52">
        <f t="shared" si="3"/>
        <v>0</v>
      </c>
      <c r="AC12" s="338"/>
      <c r="AD12" s="53" t="s">
        <v>142</v>
      </c>
      <c r="AE12" s="53">
        <v>1.5</v>
      </c>
      <c r="AF12" s="75" t="s">
        <v>20</v>
      </c>
      <c r="AG12" s="74" t="s">
        <v>0</v>
      </c>
      <c r="AH12" s="206"/>
      <c r="AI12" s="52"/>
      <c r="AM12" s="411"/>
      <c r="AN12" s="23"/>
      <c r="AO12" s="23"/>
      <c r="AP12" s="92"/>
      <c r="AQ12" s="92"/>
      <c r="AR12" s="23">
        <v>1.5</v>
      </c>
      <c r="AS12" s="75">
        <v>0.1</v>
      </c>
      <c r="AT12" s="74" t="s">
        <v>0</v>
      </c>
    </row>
    <row r="13" spans="1:46" s="50" customFormat="1" ht="18.75" customHeight="1">
      <c r="A13" s="338"/>
      <c r="B13" s="23"/>
      <c r="C13" s="23"/>
      <c r="D13" s="52"/>
      <c r="E13" s="52"/>
      <c r="F13" s="206"/>
      <c r="G13" s="52">
        <f t="shared" si="0"/>
        <v>0</v>
      </c>
      <c r="H13" s="470"/>
      <c r="I13" s="23"/>
      <c r="J13" s="23"/>
      <c r="K13" s="75"/>
      <c r="L13" s="75"/>
      <c r="M13" s="206"/>
      <c r="N13" s="52">
        <f t="shared" si="1"/>
        <v>0</v>
      </c>
      <c r="O13" s="411"/>
      <c r="P13" s="23"/>
      <c r="Q13" s="23"/>
      <c r="R13" s="92"/>
      <c r="S13" s="92"/>
      <c r="T13" s="206"/>
      <c r="U13" s="52">
        <f t="shared" si="2"/>
        <v>0</v>
      </c>
      <c r="V13" s="443"/>
      <c r="W13" s="23"/>
      <c r="X13" s="23"/>
      <c r="Y13" s="23"/>
      <c r="Z13" s="75"/>
      <c r="AA13" s="206"/>
      <c r="AB13" s="52">
        <f t="shared" si="3"/>
        <v>0</v>
      </c>
      <c r="AC13" s="338"/>
      <c r="AD13" s="53"/>
      <c r="AE13" s="53"/>
      <c r="AF13" s="75"/>
      <c r="AG13" s="74"/>
      <c r="AH13" s="206"/>
      <c r="AI13" s="52"/>
      <c r="AM13" s="411"/>
      <c r="AN13" s="23"/>
      <c r="AO13" s="23"/>
      <c r="AP13" s="75"/>
      <c r="AQ13" s="75"/>
      <c r="AR13" s="147">
        <v>18</v>
      </c>
      <c r="AS13" s="75">
        <v>1.5</v>
      </c>
      <c r="AT13" s="74" t="s">
        <v>0</v>
      </c>
    </row>
    <row r="14" spans="1:46" s="50" customFormat="1" ht="18.75" customHeight="1">
      <c r="A14" s="338"/>
      <c r="B14" s="23"/>
      <c r="C14" s="23"/>
      <c r="D14" s="52"/>
      <c r="E14" s="52"/>
      <c r="F14" s="206"/>
      <c r="G14" s="52">
        <f t="shared" si="0"/>
        <v>0</v>
      </c>
      <c r="H14" s="470"/>
      <c r="I14" s="53"/>
      <c r="J14" s="53"/>
      <c r="K14" s="75"/>
      <c r="L14" s="75"/>
      <c r="M14" s="206"/>
      <c r="N14" s="52">
        <f t="shared" si="1"/>
        <v>0</v>
      </c>
      <c r="O14" s="411"/>
      <c r="P14" s="23"/>
      <c r="Q14" s="23"/>
      <c r="R14" s="75"/>
      <c r="S14" s="75"/>
      <c r="T14" s="206"/>
      <c r="U14" s="52">
        <f t="shared" si="2"/>
        <v>0</v>
      </c>
      <c r="V14" s="443"/>
      <c r="W14" s="149"/>
      <c r="X14" s="149"/>
      <c r="Y14" s="92"/>
      <c r="Z14" s="92"/>
      <c r="AA14" s="206"/>
      <c r="AB14" s="52">
        <f t="shared" si="3"/>
        <v>0</v>
      </c>
      <c r="AC14" s="338"/>
      <c r="AD14" s="53"/>
      <c r="AE14" s="53"/>
      <c r="AF14" s="75"/>
      <c r="AG14" s="74"/>
      <c r="AH14" s="206"/>
      <c r="AI14" s="52">
        <f t="shared" si="4"/>
        <v>0</v>
      </c>
      <c r="AM14" s="411"/>
      <c r="AN14" s="23"/>
      <c r="AO14" s="23"/>
      <c r="AP14" s="92"/>
      <c r="AQ14" s="92"/>
      <c r="AR14" s="53">
        <v>19</v>
      </c>
      <c r="AS14" s="75">
        <v>1.2</v>
      </c>
      <c r="AT14" s="75" t="s">
        <v>0</v>
      </c>
    </row>
    <row r="15" spans="1:46" s="50" customFormat="1" ht="18.75" customHeight="1">
      <c r="A15" s="338"/>
      <c r="B15" s="23"/>
      <c r="C15" s="23"/>
      <c r="D15" s="52"/>
      <c r="E15" s="52"/>
      <c r="F15" s="206"/>
      <c r="G15" s="52">
        <f t="shared" si="0"/>
        <v>0</v>
      </c>
      <c r="H15" s="471"/>
      <c r="I15" s="53"/>
      <c r="J15" s="53"/>
      <c r="K15" s="75"/>
      <c r="L15" s="75"/>
      <c r="M15" s="206"/>
      <c r="N15" s="52">
        <f t="shared" si="1"/>
        <v>0</v>
      </c>
      <c r="O15" s="411"/>
      <c r="P15" s="23"/>
      <c r="Q15" s="23"/>
      <c r="R15" s="92"/>
      <c r="S15" s="92"/>
      <c r="T15" s="206"/>
      <c r="U15" s="52"/>
      <c r="V15" s="443"/>
      <c r="W15" s="23" t="s">
        <v>44</v>
      </c>
      <c r="X15" s="23">
        <v>55</v>
      </c>
      <c r="Y15" s="23">
        <f>ROUND($AE$1*X15/1000,1)</f>
        <v>4</v>
      </c>
      <c r="Z15" s="75" t="s">
        <v>0</v>
      </c>
      <c r="AA15" s="206"/>
      <c r="AB15" s="52">
        <f t="shared" si="3"/>
        <v>0</v>
      </c>
      <c r="AC15" s="338"/>
      <c r="AD15" s="53"/>
      <c r="AE15" s="53"/>
      <c r="AF15" s="75"/>
      <c r="AG15" s="74"/>
      <c r="AH15" s="206"/>
      <c r="AI15" s="52">
        <f t="shared" si="4"/>
        <v>0</v>
      </c>
      <c r="AM15" s="405" t="s">
        <v>38</v>
      </c>
      <c r="AN15" s="452"/>
      <c r="AO15" s="452"/>
      <c r="AP15" s="452"/>
      <c r="AQ15" s="453"/>
      <c r="AR15" s="23"/>
      <c r="AS15" s="75">
        <v>0.5</v>
      </c>
      <c r="AT15" s="75" t="s">
        <v>0</v>
      </c>
    </row>
    <row r="16" spans="1:46" s="50" customFormat="1" ht="18.75" customHeight="1">
      <c r="A16" s="339" t="s">
        <v>38</v>
      </c>
      <c r="B16" s="339"/>
      <c r="C16" s="339"/>
      <c r="D16" s="339"/>
      <c r="E16" s="339"/>
      <c r="F16" s="86"/>
      <c r="G16" s="87"/>
      <c r="H16" s="457" t="s">
        <v>38</v>
      </c>
      <c r="I16" s="353"/>
      <c r="J16" s="353"/>
      <c r="K16" s="353"/>
      <c r="L16" s="426"/>
      <c r="M16" s="86"/>
      <c r="N16" s="87"/>
      <c r="O16" s="405" t="s">
        <v>38</v>
      </c>
      <c r="P16" s="452"/>
      <c r="Q16" s="452"/>
      <c r="R16" s="452"/>
      <c r="S16" s="453"/>
      <c r="T16" s="86"/>
      <c r="U16" s="87"/>
      <c r="V16" s="339" t="s">
        <v>38</v>
      </c>
      <c r="W16" s="339"/>
      <c r="X16" s="339"/>
      <c r="Y16" s="339"/>
      <c r="Z16" s="339"/>
      <c r="AA16" s="86"/>
      <c r="AB16" s="87"/>
      <c r="AC16" s="339" t="s">
        <v>38</v>
      </c>
      <c r="AD16" s="339"/>
      <c r="AE16" s="339"/>
      <c r="AF16" s="339"/>
      <c r="AG16" s="339"/>
      <c r="AH16" s="86"/>
      <c r="AI16" s="87"/>
      <c r="AM16" s="337" t="s">
        <v>41</v>
      </c>
      <c r="AN16" s="29" t="s">
        <v>58</v>
      </c>
      <c r="AO16" s="58">
        <v>50</v>
      </c>
      <c r="AP16" s="75">
        <f>ROUND($AF$1*AO16/1000,1)</f>
        <v>0</v>
      </c>
      <c r="AQ16" s="74" t="s">
        <v>0</v>
      </c>
      <c r="AR16" s="23"/>
      <c r="AS16" s="75"/>
      <c r="AT16" s="75"/>
    </row>
    <row r="17" spans="1:46" s="50" customFormat="1" ht="18.75" customHeight="1">
      <c r="A17" s="337" t="s">
        <v>271</v>
      </c>
      <c r="B17" s="283" t="s">
        <v>272</v>
      </c>
      <c r="C17" s="23">
        <v>28</v>
      </c>
      <c r="D17" s="75">
        <f>ROUND($AE$1*C17/1000,1)</f>
        <v>2</v>
      </c>
      <c r="E17" s="74" t="s">
        <v>0</v>
      </c>
      <c r="F17" s="206"/>
      <c r="G17" s="52"/>
      <c r="H17" s="466" t="s">
        <v>148</v>
      </c>
      <c r="I17" s="59" t="s">
        <v>76</v>
      </c>
      <c r="J17" s="59">
        <v>8</v>
      </c>
      <c r="K17" s="92">
        <f aca="true" t="shared" si="5" ref="K17:K23">ROUND($AE$1*J17/1000,1)</f>
        <v>0.6</v>
      </c>
      <c r="L17" s="92" t="s">
        <v>0</v>
      </c>
      <c r="M17" s="206"/>
      <c r="N17" s="52">
        <f t="shared" si="1"/>
        <v>0</v>
      </c>
      <c r="O17" s="337" t="s">
        <v>41</v>
      </c>
      <c r="P17" s="29" t="s">
        <v>58</v>
      </c>
      <c r="Q17" s="244">
        <v>41</v>
      </c>
      <c r="R17" s="75">
        <f>ROUND($AE$1*Q17/1000,1)</f>
        <v>3</v>
      </c>
      <c r="S17" s="74" t="s">
        <v>0</v>
      </c>
      <c r="T17" s="206"/>
      <c r="U17" s="52">
        <f t="shared" si="2"/>
        <v>0</v>
      </c>
      <c r="V17" s="434" t="s">
        <v>266</v>
      </c>
      <c r="W17" s="62" t="s">
        <v>154</v>
      </c>
      <c r="X17" s="62">
        <v>15</v>
      </c>
      <c r="Y17" s="75" t="s">
        <v>20</v>
      </c>
      <c r="Z17" s="75" t="s">
        <v>0</v>
      </c>
      <c r="AA17" s="206"/>
      <c r="AB17" s="52"/>
      <c r="AC17" s="337" t="s">
        <v>89</v>
      </c>
      <c r="AD17" s="29" t="s">
        <v>42</v>
      </c>
      <c r="AE17" s="58">
        <v>41</v>
      </c>
      <c r="AF17" s="75">
        <f>ROUND($AE$1*AE17/1000,1)</f>
        <v>3</v>
      </c>
      <c r="AG17" s="99" t="s">
        <v>0</v>
      </c>
      <c r="AH17" s="206"/>
      <c r="AI17" s="52">
        <f t="shared" si="4"/>
        <v>0</v>
      </c>
      <c r="AM17" s="338"/>
      <c r="AN17" s="29" t="s">
        <v>62</v>
      </c>
      <c r="AO17" s="58">
        <v>33</v>
      </c>
      <c r="AP17" s="75">
        <f>ROUND($AF$1*AO17/100,1)</f>
        <v>0</v>
      </c>
      <c r="AQ17" s="74" t="s">
        <v>54</v>
      </c>
      <c r="AR17" s="53"/>
      <c r="AS17" s="75"/>
      <c r="AT17" s="75"/>
    </row>
    <row r="18" spans="1:46" s="50" customFormat="1" ht="18.75" customHeight="1">
      <c r="A18" s="338"/>
      <c r="B18" s="23" t="s">
        <v>187</v>
      </c>
      <c r="C18" s="23">
        <v>0.1</v>
      </c>
      <c r="D18" s="75">
        <f>ROUND($AE$1*C18/10,0)</f>
        <v>1</v>
      </c>
      <c r="E18" s="74" t="s">
        <v>21</v>
      </c>
      <c r="F18" s="261"/>
      <c r="G18" s="52">
        <f t="shared" si="0"/>
        <v>0</v>
      </c>
      <c r="H18" s="466"/>
      <c r="I18" s="23" t="s">
        <v>77</v>
      </c>
      <c r="J18" s="23">
        <v>8</v>
      </c>
      <c r="K18" s="92">
        <f t="shared" si="5"/>
        <v>0.6</v>
      </c>
      <c r="L18" s="92" t="s">
        <v>0</v>
      </c>
      <c r="M18" s="261"/>
      <c r="N18" s="52">
        <f t="shared" si="1"/>
        <v>0</v>
      </c>
      <c r="O18" s="338"/>
      <c r="P18" s="29"/>
      <c r="Q18" s="244"/>
      <c r="R18" s="75"/>
      <c r="S18" s="74"/>
      <c r="T18" s="261"/>
      <c r="U18" s="52">
        <f t="shared" si="2"/>
        <v>0</v>
      </c>
      <c r="V18" s="434"/>
      <c r="W18" s="198" t="s">
        <v>122</v>
      </c>
      <c r="X18" s="62">
        <v>5.5</v>
      </c>
      <c r="Y18" s="23">
        <f>ROUND($AE$1*X18/1000,1)</f>
        <v>0.4</v>
      </c>
      <c r="Z18" s="75" t="s">
        <v>0</v>
      </c>
      <c r="AA18" s="261"/>
      <c r="AB18" s="52">
        <f t="shared" si="3"/>
        <v>0</v>
      </c>
      <c r="AC18" s="338"/>
      <c r="AD18" s="29" t="s">
        <v>58</v>
      </c>
      <c r="AE18" s="58">
        <v>55</v>
      </c>
      <c r="AF18" s="75">
        <f>ROUND($AE$1*AE18/1000,1)</f>
        <v>4</v>
      </c>
      <c r="AG18" s="74" t="s">
        <v>0</v>
      </c>
      <c r="AH18" s="261"/>
      <c r="AI18" s="52">
        <f t="shared" si="4"/>
        <v>0</v>
      </c>
      <c r="AM18" s="338"/>
      <c r="AN18" s="28" t="s">
        <v>44</v>
      </c>
      <c r="AO18" s="29">
        <v>50</v>
      </c>
      <c r="AP18" s="75">
        <v>3</v>
      </c>
      <c r="AQ18" s="74" t="s">
        <v>0</v>
      </c>
      <c r="AR18" s="53"/>
      <c r="AS18" s="75"/>
      <c r="AT18" s="75"/>
    </row>
    <row r="19" spans="1:46" s="50" customFormat="1" ht="18.75" customHeight="1">
      <c r="A19" s="338"/>
      <c r="B19" s="23" t="s">
        <v>70</v>
      </c>
      <c r="C19" s="23">
        <v>5</v>
      </c>
      <c r="D19" s="75">
        <f>ROUND($AE$1*C19/1000,1)</f>
        <v>0.4</v>
      </c>
      <c r="E19" s="74" t="s">
        <v>0</v>
      </c>
      <c r="F19" s="261"/>
      <c r="G19" s="52">
        <f t="shared" si="0"/>
        <v>0</v>
      </c>
      <c r="H19" s="466"/>
      <c r="I19" s="23" t="s">
        <v>149</v>
      </c>
      <c r="J19" s="23">
        <v>16</v>
      </c>
      <c r="K19" s="92">
        <f t="shared" si="5"/>
        <v>1.2</v>
      </c>
      <c r="L19" s="92" t="s">
        <v>0</v>
      </c>
      <c r="M19" s="261"/>
      <c r="N19" s="52">
        <f t="shared" si="1"/>
        <v>0</v>
      </c>
      <c r="O19" s="338"/>
      <c r="P19" s="28" t="s">
        <v>44</v>
      </c>
      <c r="Q19" s="244">
        <v>41</v>
      </c>
      <c r="R19" s="75">
        <f>ROUND($AE$1*Q19/1000,1)</f>
        <v>3</v>
      </c>
      <c r="S19" s="74" t="s">
        <v>0</v>
      </c>
      <c r="T19" s="261"/>
      <c r="U19" s="52">
        <f t="shared" si="2"/>
        <v>0</v>
      </c>
      <c r="V19" s="434"/>
      <c r="W19" s="62" t="s">
        <v>157</v>
      </c>
      <c r="X19" s="23"/>
      <c r="Y19" s="75" t="s">
        <v>20</v>
      </c>
      <c r="Z19" s="75" t="s">
        <v>0</v>
      </c>
      <c r="AA19" s="261"/>
      <c r="AB19" s="52"/>
      <c r="AC19" s="338"/>
      <c r="AD19" s="161"/>
      <c r="AE19" s="58"/>
      <c r="AF19" s="75"/>
      <c r="AG19" s="74"/>
      <c r="AH19" s="261"/>
      <c r="AI19" s="52"/>
      <c r="AM19" s="338"/>
      <c r="AN19" s="23"/>
      <c r="AO19" s="23"/>
      <c r="AP19" s="92"/>
      <c r="AQ19" s="97"/>
      <c r="AR19" s="23"/>
      <c r="AS19" s="75"/>
      <c r="AT19" s="75"/>
    </row>
    <row r="20" spans="1:43" s="50" customFormat="1" ht="18.75" customHeight="1">
      <c r="A20" s="338"/>
      <c r="B20" s="23" t="s">
        <v>64</v>
      </c>
      <c r="C20" s="23">
        <v>5</v>
      </c>
      <c r="D20" s="75">
        <f>ROUND($AE$1*C20/1000,1)</f>
        <v>0.4</v>
      </c>
      <c r="E20" s="74" t="s">
        <v>0</v>
      </c>
      <c r="F20" s="261"/>
      <c r="G20" s="52">
        <f t="shared" si="0"/>
        <v>0</v>
      </c>
      <c r="H20" s="466"/>
      <c r="I20" s="59" t="s">
        <v>150</v>
      </c>
      <c r="J20" s="59">
        <v>14</v>
      </c>
      <c r="K20" s="92">
        <f t="shared" si="5"/>
        <v>1</v>
      </c>
      <c r="L20" s="92" t="s">
        <v>0</v>
      </c>
      <c r="M20" s="261"/>
      <c r="N20" s="52">
        <f t="shared" si="1"/>
        <v>0</v>
      </c>
      <c r="O20" s="338"/>
      <c r="P20" s="23"/>
      <c r="Q20" s="23"/>
      <c r="R20" s="92"/>
      <c r="S20" s="97"/>
      <c r="T20" s="261"/>
      <c r="U20" s="52">
        <f t="shared" si="2"/>
        <v>0</v>
      </c>
      <c r="V20" s="434"/>
      <c r="W20" s="23" t="s">
        <v>158</v>
      </c>
      <c r="X20" s="23">
        <v>10</v>
      </c>
      <c r="Y20" s="75">
        <v>3</v>
      </c>
      <c r="Z20" s="75" t="s">
        <v>19</v>
      </c>
      <c r="AA20" s="261"/>
      <c r="AB20" s="52">
        <f t="shared" si="3"/>
        <v>0</v>
      </c>
      <c r="AC20" s="338"/>
      <c r="AD20" s="23"/>
      <c r="AE20" s="23"/>
      <c r="AF20" s="75"/>
      <c r="AG20" s="74"/>
      <c r="AH20" s="261"/>
      <c r="AI20" s="52">
        <f t="shared" si="4"/>
        <v>0</v>
      </c>
      <c r="AM20" s="338"/>
      <c r="AN20" s="60" t="s">
        <v>13</v>
      </c>
      <c r="AO20" s="52">
        <v>133</v>
      </c>
      <c r="AP20" s="52">
        <v>4</v>
      </c>
      <c r="AQ20" s="61" t="s">
        <v>47</v>
      </c>
    </row>
    <row r="21" spans="1:43" s="50" customFormat="1" ht="18.75" customHeight="1">
      <c r="A21" s="338"/>
      <c r="B21" s="23" t="s">
        <v>116</v>
      </c>
      <c r="C21" s="23">
        <v>4</v>
      </c>
      <c r="D21" s="75">
        <f>ROUND($AE$1*C21/1000,1)</f>
        <v>0.3</v>
      </c>
      <c r="E21" s="74" t="s">
        <v>0</v>
      </c>
      <c r="F21" s="261"/>
      <c r="G21" s="52">
        <f t="shared" si="0"/>
        <v>0</v>
      </c>
      <c r="H21" s="466"/>
      <c r="I21" s="188" t="s">
        <v>64</v>
      </c>
      <c r="J21" s="23">
        <v>4</v>
      </c>
      <c r="K21" s="92">
        <f t="shared" si="5"/>
        <v>0.3</v>
      </c>
      <c r="L21" s="92" t="s">
        <v>0</v>
      </c>
      <c r="M21" s="261"/>
      <c r="N21" s="52">
        <f t="shared" si="1"/>
        <v>0</v>
      </c>
      <c r="O21" s="338"/>
      <c r="P21" s="266" t="s">
        <v>196</v>
      </c>
      <c r="Q21" s="267">
        <v>128</v>
      </c>
      <c r="R21" s="268" t="s">
        <v>20</v>
      </c>
      <c r="S21" s="146" t="s">
        <v>47</v>
      </c>
      <c r="T21" s="261"/>
      <c r="U21" s="52"/>
      <c r="V21" s="434"/>
      <c r="W21" s="266" t="s">
        <v>196</v>
      </c>
      <c r="X21" s="267">
        <v>128</v>
      </c>
      <c r="Y21" s="268" t="s">
        <v>20</v>
      </c>
      <c r="Z21" s="146" t="s">
        <v>47</v>
      </c>
      <c r="AA21" s="261"/>
      <c r="AB21" s="52"/>
      <c r="AC21" s="338"/>
      <c r="AD21" s="266" t="s">
        <v>196</v>
      </c>
      <c r="AE21" s="267">
        <v>128</v>
      </c>
      <c r="AF21" s="268" t="s">
        <v>20</v>
      </c>
      <c r="AG21" s="146" t="s">
        <v>47</v>
      </c>
      <c r="AH21" s="261"/>
      <c r="AI21" s="52"/>
      <c r="AM21" s="338"/>
      <c r="AN21" s="23"/>
      <c r="AO21" s="23"/>
      <c r="AP21" s="92"/>
      <c r="AQ21" s="97"/>
    </row>
    <row r="22" spans="1:43" s="50" customFormat="1" ht="18.75" customHeight="1">
      <c r="A22" s="338"/>
      <c r="B22" s="23" t="s">
        <v>117</v>
      </c>
      <c r="C22" s="23">
        <v>13</v>
      </c>
      <c r="D22" s="75">
        <f>ROUND($AE$1*C22/300,0)</f>
        <v>3</v>
      </c>
      <c r="E22" s="25" t="s">
        <v>109</v>
      </c>
      <c r="F22" s="206"/>
      <c r="G22" s="52">
        <f t="shared" si="0"/>
        <v>0</v>
      </c>
      <c r="H22" s="466"/>
      <c r="I22" s="188" t="s">
        <v>101</v>
      </c>
      <c r="J22" s="23">
        <v>4</v>
      </c>
      <c r="K22" s="92">
        <f t="shared" si="5"/>
        <v>0.3</v>
      </c>
      <c r="L22" s="92" t="s">
        <v>0</v>
      </c>
      <c r="M22" s="206"/>
      <c r="N22" s="52">
        <f t="shared" si="1"/>
        <v>0</v>
      </c>
      <c r="O22" s="338"/>
      <c r="P22" s="269" t="s">
        <v>219</v>
      </c>
      <c r="Q22" s="156"/>
      <c r="R22" s="92"/>
      <c r="S22" s="97"/>
      <c r="T22" s="206"/>
      <c r="U22" s="52">
        <f t="shared" si="2"/>
        <v>0</v>
      </c>
      <c r="V22" s="434"/>
      <c r="W22" s="269" t="s">
        <v>222</v>
      </c>
      <c r="X22" s="156"/>
      <c r="Y22" s="92"/>
      <c r="Z22" s="97"/>
      <c r="AA22" s="206"/>
      <c r="AB22" s="52">
        <f t="shared" si="3"/>
        <v>0</v>
      </c>
      <c r="AC22" s="338"/>
      <c r="AD22" s="269" t="s">
        <v>219</v>
      </c>
      <c r="AE22" s="156"/>
      <c r="AF22" s="92"/>
      <c r="AG22" s="97"/>
      <c r="AH22" s="206"/>
      <c r="AI22" s="52">
        <f t="shared" si="4"/>
        <v>0</v>
      </c>
      <c r="AM22" s="338"/>
      <c r="AN22" s="23"/>
      <c r="AO22" s="23"/>
      <c r="AP22" s="92"/>
      <c r="AQ22" s="97"/>
    </row>
    <row r="23" spans="1:43" s="50" customFormat="1" ht="18.75" customHeight="1" thickBot="1">
      <c r="A23" s="338"/>
      <c r="B23" s="162"/>
      <c r="C23" s="162"/>
      <c r="D23" s="75"/>
      <c r="E23" s="74"/>
      <c r="F23" s="206"/>
      <c r="G23" s="52">
        <f t="shared" si="0"/>
        <v>0</v>
      </c>
      <c r="H23" s="466"/>
      <c r="I23" s="60" t="s">
        <v>95</v>
      </c>
      <c r="J23" s="78">
        <v>14</v>
      </c>
      <c r="K23" s="92">
        <f t="shared" si="5"/>
        <v>1</v>
      </c>
      <c r="L23" s="78" t="s">
        <v>47</v>
      </c>
      <c r="M23" s="206"/>
      <c r="N23" s="52">
        <f t="shared" si="1"/>
        <v>0</v>
      </c>
      <c r="O23" s="338"/>
      <c r="P23" s="23"/>
      <c r="Q23" s="23"/>
      <c r="R23" s="92"/>
      <c r="S23" s="97"/>
      <c r="T23" s="206"/>
      <c r="U23" s="52">
        <f t="shared" si="2"/>
        <v>0</v>
      </c>
      <c r="V23" s="434"/>
      <c r="W23" s="62" t="s">
        <v>159</v>
      </c>
      <c r="X23" s="59"/>
      <c r="Y23" s="75"/>
      <c r="Z23" s="75"/>
      <c r="AA23" s="206"/>
      <c r="AB23" s="52">
        <f t="shared" si="3"/>
        <v>0</v>
      </c>
      <c r="AC23" s="338"/>
      <c r="AD23" s="59"/>
      <c r="AE23" s="59"/>
      <c r="AF23" s="75"/>
      <c r="AG23" s="74"/>
      <c r="AH23" s="206"/>
      <c r="AI23" s="52">
        <f t="shared" si="4"/>
        <v>0</v>
      </c>
      <c r="AM23" s="440"/>
      <c r="AN23" s="176"/>
      <c r="AO23" s="176"/>
      <c r="AP23" s="177"/>
      <c r="AQ23" s="178"/>
    </row>
    <row r="24" spans="1:43" s="50" customFormat="1" ht="18.75" customHeight="1" thickBot="1">
      <c r="A24" s="439"/>
      <c r="B24" s="172"/>
      <c r="C24" s="172"/>
      <c r="D24" s="126"/>
      <c r="E24" s="127"/>
      <c r="F24" s="207"/>
      <c r="G24" s="52">
        <f t="shared" si="0"/>
        <v>0</v>
      </c>
      <c r="H24" s="466"/>
      <c r="I24" s="60"/>
      <c r="J24" s="78"/>
      <c r="K24" s="78"/>
      <c r="L24" s="78"/>
      <c r="M24" s="207"/>
      <c r="N24" s="52">
        <f t="shared" si="1"/>
        <v>0</v>
      </c>
      <c r="O24" s="440"/>
      <c r="P24" s="176"/>
      <c r="Q24" s="176"/>
      <c r="R24" s="177"/>
      <c r="S24" s="178"/>
      <c r="T24" s="207"/>
      <c r="U24" s="52">
        <f t="shared" si="2"/>
        <v>0</v>
      </c>
      <c r="V24" s="337"/>
      <c r="W24" s="150"/>
      <c r="X24" s="150"/>
      <c r="Y24" s="151"/>
      <c r="Z24" s="151"/>
      <c r="AA24" s="207"/>
      <c r="AB24" s="52">
        <f t="shared" si="3"/>
        <v>0</v>
      </c>
      <c r="AC24" s="439"/>
      <c r="AD24" s="59"/>
      <c r="AE24" s="59"/>
      <c r="AF24" s="195"/>
      <c r="AG24" s="127"/>
      <c r="AH24" s="207"/>
      <c r="AI24" s="52">
        <f t="shared" si="4"/>
        <v>0</v>
      </c>
      <c r="AM24" s="454" t="s">
        <v>79</v>
      </c>
      <c r="AN24" s="101" t="s">
        <v>80</v>
      </c>
      <c r="AO24" s="343">
        <v>1.5</v>
      </c>
      <c r="AP24" s="343"/>
      <c r="AQ24" s="344"/>
    </row>
    <row r="25" spans="1:46" s="40" customFormat="1" ht="18.75" customHeight="1">
      <c r="A25" s="394" t="s">
        <v>79</v>
      </c>
      <c r="B25" s="101" t="s">
        <v>80</v>
      </c>
      <c r="C25" s="343">
        <v>2</v>
      </c>
      <c r="D25" s="343"/>
      <c r="E25" s="344"/>
      <c r="F25" s="383">
        <f>SUM(G6:G24)</f>
        <v>0</v>
      </c>
      <c r="G25" s="371"/>
      <c r="H25" s="394" t="s">
        <v>79</v>
      </c>
      <c r="I25" s="101" t="s">
        <v>80</v>
      </c>
      <c r="J25" s="343">
        <v>2</v>
      </c>
      <c r="K25" s="343"/>
      <c r="L25" s="344"/>
      <c r="M25" s="383">
        <f>SUM(N6:N24)</f>
        <v>0</v>
      </c>
      <c r="N25" s="371"/>
      <c r="O25" s="454" t="s">
        <v>79</v>
      </c>
      <c r="P25" s="101" t="s">
        <v>80</v>
      </c>
      <c r="Q25" s="343">
        <v>1.5</v>
      </c>
      <c r="R25" s="343"/>
      <c r="S25" s="344"/>
      <c r="T25" s="383">
        <f>SUM(U6:U24)</f>
        <v>0</v>
      </c>
      <c r="U25" s="371"/>
      <c r="V25" s="394" t="s">
        <v>79</v>
      </c>
      <c r="W25" s="101" t="s">
        <v>80</v>
      </c>
      <c r="X25" s="343">
        <v>2.8</v>
      </c>
      <c r="Y25" s="343"/>
      <c r="Z25" s="344"/>
      <c r="AA25" s="383">
        <f>SUM(AB6:AB24)</f>
        <v>0</v>
      </c>
      <c r="AB25" s="371"/>
      <c r="AC25" s="407" t="s">
        <v>79</v>
      </c>
      <c r="AD25" s="101" t="s">
        <v>80</v>
      </c>
      <c r="AE25" s="343">
        <v>2</v>
      </c>
      <c r="AF25" s="343"/>
      <c r="AG25" s="344"/>
      <c r="AH25" s="383">
        <f>SUM(AI6:AI24)</f>
        <v>0</v>
      </c>
      <c r="AI25" s="371"/>
      <c r="AJ25" s="102">
        <f aca="true" t="shared" si="6" ref="AJ25:AJ31">(AE25+X25+Q25+J25+C25)/5</f>
        <v>2.06</v>
      </c>
      <c r="AM25" s="455"/>
      <c r="AN25" s="103" t="s">
        <v>81</v>
      </c>
      <c r="AO25" s="345">
        <v>0.5</v>
      </c>
      <c r="AP25" s="345"/>
      <c r="AQ25" s="346"/>
      <c r="AT25" s="65"/>
    </row>
    <row r="26" spans="1:46" s="40" customFormat="1" ht="18.75" customHeight="1">
      <c r="A26" s="395"/>
      <c r="B26" s="103" t="s">
        <v>81</v>
      </c>
      <c r="C26" s="345">
        <v>0.5</v>
      </c>
      <c r="D26" s="345"/>
      <c r="E26" s="346"/>
      <c r="F26" s="104"/>
      <c r="G26" s="105"/>
      <c r="H26" s="395"/>
      <c r="I26" s="103" t="s">
        <v>81</v>
      </c>
      <c r="J26" s="345">
        <v>0.6</v>
      </c>
      <c r="K26" s="345"/>
      <c r="L26" s="346"/>
      <c r="M26" s="106"/>
      <c r="N26" s="105"/>
      <c r="O26" s="455"/>
      <c r="P26" s="103" t="s">
        <v>81</v>
      </c>
      <c r="Q26" s="345">
        <v>0.5</v>
      </c>
      <c r="R26" s="345"/>
      <c r="S26" s="346"/>
      <c r="T26" s="106"/>
      <c r="U26" s="107"/>
      <c r="V26" s="395"/>
      <c r="W26" s="103" t="s">
        <v>81</v>
      </c>
      <c r="X26" s="345">
        <v>0.7</v>
      </c>
      <c r="Y26" s="345"/>
      <c r="Z26" s="346"/>
      <c r="AA26" s="108"/>
      <c r="AB26" s="105"/>
      <c r="AC26" s="408"/>
      <c r="AD26" s="103" t="s">
        <v>81</v>
      </c>
      <c r="AE26" s="345">
        <v>0.6</v>
      </c>
      <c r="AF26" s="345"/>
      <c r="AG26" s="346"/>
      <c r="AH26" s="109"/>
      <c r="AI26" s="110"/>
      <c r="AJ26" s="102">
        <f t="shared" si="6"/>
        <v>0.58</v>
      </c>
      <c r="AM26" s="455"/>
      <c r="AN26" s="111" t="s">
        <v>84</v>
      </c>
      <c r="AO26" s="345">
        <v>0.5</v>
      </c>
      <c r="AP26" s="345"/>
      <c r="AQ26" s="346"/>
      <c r="AT26" s="65"/>
    </row>
    <row r="27" spans="1:46" s="40" customFormat="1" ht="18.75" customHeight="1">
      <c r="A27" s="395"/>
      <c r="B27" s="111" t="s">
        <v>84</v>
      </c>
      <c r="C27" s="345">
        <v>0.5</v>
      </c>
      <c r="D27" s="345"/>
      <c r="E27" s="346"/>
      <c r="F27" s="104"/>
      <c r="G27" s="105"/>
      <c r="H27" s="395"/>
      <c r="I27" s="111" t="s">
        <v>84</v>
      </c>
      <c r="J27" s="345">
        <v>0.3</v>
      </c>
      <c r="K27" s="345"/>
      <c r="L27" s="346"/>
      <c r="M27" s="106"/>
      <c r="N27" s="105"/>
      <c r="O27" s="455"/>
      <c r="P27" s="111" t="s">
        <v>84</v>
      </c>
      <c r="Q27" s="345">
        <v>0.5</v>
      </c>
      <c r="R27" s="345"/>
      <c r="S27" s="346"/>
      <c r="T27" s="106"/>
      <c r="U27" s="107"/>
      <c r="V27" s="395"/>
      <c r="W27" s="111" t="s">
        <v>84</v>
      </c>
      <c r="X27" s="345">
        <v>0.4</v>
      </c>
      <c r="Y27" s="345"/>
      <c r="Z27" s="346"/>
      <c r="AA27" s="108"/>
      <c r="AB27" s="105"/>
      <c r="AC27" s="408"/>
      <c r="AD27" s="111" t="s">
        <v>84</v>
      </c>
      <c r="AE27" s="345">
        <v>0.5</v>
      </c>
      <c r="AF27" s="345"/>
      <c r="AG27" s="346"/>
      <c r="AH27" s="109"/>
      <c r="AI27" s="110"/>
      <c r="AJ27" s="102">
        <f t="shared" si="6"/>
        <v>0.44000000000000006</v>
      </c>
      <c r="AM27" s="455"/>
      <c r="AN27" s="112" t="s">
        <v>82</v>
      </c>
      <c r="AO27" s="345">
        <v>0.5</v>
      </c>
      <c r="AP27" s="345"/>
      <c r="AQ27" s="346"/>
      <c r="AT27" s="73"/>
    </row>
    <row r="28" spans="1:46" s="40" customFormat="1" ht="18.75" customHeight="1">
      <c r="A28" s="395"/>
      <c r="B28" s="112" t="s">
        <v>82</v>
      </c>
      <c r="C28" s="345">
        <v>0.5</v>
      </c>
      <c r="D28" s="345"/>
      <c r="E28" s="346"/>
      <c r="F28" s="104"/>
      <c r="G28" s="105"/>
      <c r="H28" s="395"/>
      <c r="I28" s="112" t="s">
        <v>83</v>
      </c>
      <c r="J28" s="345">
        <v>0.5</v>
      </c>
      <c r="K28" s="345"/>
      <c r="L28" s="346"/>
      <c r="M28" s="106"/>
      <c r="N28" s="105"/>
      <c r="O28" s="455"/>
      <c r="P28" s="112" t="s">
        <v>82</v>
      </c>
      <c r="Q28" s="345">
        <v>0.5</v>
      </c>
      <c r="R28" s="345"/>
      <c r="S28" s="346"/>
      <c r="T28" s="106"/>
      <c r="U28" s="107"/>
      <c r="V28" s="395"/>
      <c r="W28" s="112" t="s">
        <v>82</v>
      </c>
      <c r="X28" s="345">
        <v>0.5</v>
      </c>
      <c r="Y28" s="345"/>
      <c r="Z28" s="346"/>
      <c r="AA28" s="108"/>
      <c r="AB28" s="105"/>
      <c r="AC28" s="408"/>
      <c r="AD28" s="112" t="s">
        <v>82</v>
      </c>
      <c r="AE28" s="345">
        <v>0.5</v>
      </c>
      <c r="AF28" s="345"/>
      <c r="AG28" s="346"/>
      <c r="AH28" s="109"/>
      <c r="AI28" s="110"/>
      <c r="AJ28" s="102">
        <f t="shared" si="6"/>
        <v>0.5</v>
      </c>
      <c r="AM28" s="455"/>
      <c r="AN28" s="103" t="s">
        <v>85</v>
      </c>
      <c r="AO28" s="345">
        <v>1</v>
      </c>
      <c r="AP28" s="345"/>
      <c r="AQ28" s="346"/>
      <c r="AT28" s="73"/>
    </row>
    <row r="29" spans="1:46" s="40" customFormat="1" ht="18.75" customHeight="1">
      <c r="A29" s="395"/>
      <c r="B29" s="103" t="s">
        <v>85</v>
      </c>
      <c r="C29" s="345">
        <v>1</v>
      </c>
      <c r="D29" s="345"/>
      <c r="E29" s="346"/>
      <c r="F29" s="104"/>
      <c r="G29" s="105"/>
      <c r="H29" s="395"/>
      <c r="I29" s="103" t="s">
        <v>85</v>
      </c>
      <c r="J29" s="345">
        <v>0</v>
      </c>
      <c r="K29" s="345"/>
      <c r="L29" s="346"/>
      <c r="M29" s="106"/>
      <c r="N29" s="105"/>
      <c r="O29" s="455"/>
      <c r="P29" s="103" t="s">
        <v>85</v>
      </c>
      <c r="Q29" s="345">
        <v>1</v>
      </c>
      <c r="R29" s="345"/>
      <c r="S29" s="346"/>
      <c r="T29" s="106"/>
      <c r="U29" s="107"/>
      <c r="V29" s="395"/>
      <c r="W29" s="103" t="s">
        <v>85</v>
      </c>
      <c r="X29" s="345">
        <v>0.5</v>
      </c>
      <c r="Y29" s="345"/>
      <c r="Z29" s="346"/>
      <c r="AA29" s="108"/>
      <c r="AB29" s="105"/>
      <c r="AC29" s="408"/>
      <c r="AD29" s="103" t="s">
        <v>85</v>
      </c>
      <c r="AE29" s="345">
        <v>1</v>
      </c>
      <c r="AF29" s="345"/>
      <c r="AG29" s="346"/>
      <c r="AH29" s="109"/>
      <c r="AI29" s="110"/>
      <c r="AJ29" s="102">
        <f t="shared" si="6"/>
        <v>0.7</v>
      </c>
      <c r="AM29" s="455"/>
      <c r="AN29" s="103" t="s">
        <v>86</v>
      </c>
      <c r="AO29" s="345">
        <v>0.6</v>
      </c>
      <c r="AP29" s="345"/>
      <c r="AQ29" s="346"/>
      <c r="AT29" s="73"/>
    </row>
    <row r="30" spans="1:46" s="40" customFormat="1" ht="18.75" customHeight="1" thickBot="1">
      <c r="A30" s="395"/>
      <c r="B30" s="103" t="s">
        <v>86</v>
      </c>
      <c r="C30" s="345">
        <v>0.6</v>
      </c>
      <c r="D30" s="345"/>
      <c r="E30" s="346"/>
      <c r="F30" s="104"/>
      <c r="G30" s="105"/>
      <c r="H30" s="395"/>
      <c r="I30" s="103" t="s">
        <v>86</v>
      </c>
      <c r="J30" s="345">
        <v>0.6</v>
      </c>
      <c r="K30" s="345"/>
      <c r="L30" s="346"/>
      <c r="M30" s="113"/>
      <c r="N30" s="105"/>
      <c r="O30" s="455"/>
      <c r="P30" s="103" t="s">
        <v>86</v>
      </c>
      <c r="Q30" s="345">
        <v>0.6</v>
      </c>
      <c r="R30" s="345"/>
      <c r="S30" s="346"/>
      <c r="T30" s="106"/>
      <c r="U30" s="107"/>
      <c r="V30" s="395"/>
      <c r="W30" s="103" t="s">
        <v>86</v>
      </c>
      <c r="X30" s="345">
        <v>0.6</v>
      </c>
      <c r="Y30" s="345"/>
      <c r="Z30" s="346"/>
      <c r="AA30" s="108"/>
      <c r="AB30" s="105"/>
      <c r="AC30" s="408"/>
      <c r="AD30" s="103" t="s">
        <v>86</v>
      </c>
      <c r="AE30" s="345">
        <v>0.6</v>
      </c>
      <c r="AF30" s="345"/>
      <c r="AG30" s="346"/>
      <c r="AH30" s="109"/>
      <c r="AI30" s="110"/>
      <c r="AJ30" s="102">
        <f t="shared" si="6"/>
        <v>0.6</v>
      </c>
      <c r="AK30" s="40">
        <v>0.2</v>
      </c>
      <c r="AM30" s="456"/>
      <c r="AN30" s="114" t="s">
        <v>87</v>
      </c>
      <c r="AO30" s="335">
        <f>AO24*70+AO25*75+AO26*25+AO27*45+AO29*120+AO28*60</f>
        <v>309.5</v>
      </c>
      <c r="AP30" s="335"/>
      <c r="AQ30" s="336"/>
      <c r="AT30" s="73"/>
    </row>
    <row r="31" spans="1:46" s="40" customFormat="1" ht="18.75" customHeight="1" thickBot="1">
      <c r="A31" s="396"/>
      <c r="B31" s="114" t="s">
        <v>87</v>
      </c>
      <c r="C31" s="335">
        <f>C25*70+C26*75+C27*25+C28*45+C30*120+C29*60</f>
        <v>344.5</v>
      </c>
      <c r="D31" s="335"/>
      <c r="E31" s="336"/>
      <c r="F31" s="115"/>
      <c r="G31" s="116"/>
      <c r="H31" s="396"/>
      <c r="I31" s="114" t="s">
        <v>87</v>
      </c>
      <c r="J31" s="335">
        <f>J25*70+J26*75+J27*25+J28*45+J30*120+J29*60</f>
        <v>287</v>
      </c>
      <c r="K31" s="335"/>
      <c r="L31" s="336"/>
      <c r="M31" s="117"/>
      <c r="N31" s="116"/>
      <c r="O31" s="456"/>
      <c r="P31" s="114" t="s">
        <v>87</v>
      </c>
      <c r="Q31" s="335">
        <f>Q25*70+Q26*75+Q27*25+Q28*45+Q30*120+Q29*60</f>
        <v>309.5</v>
      </c>
      <c r="R31" s="335"/>
      <c r="S31" s="336"/>
      <c r="T31" s="117"/>
      <c r="U31" s="118"/>
      <c r="V31" s="396"/>
      <c r="W31" s="114" t="s">
        <v>87</v>
      </c>
      <c r="X31" s="335">
        <f>X25*70+X26*75+X27*25+X28*45+X30*120+X29*60</f>
        <v>383</v>
      </c>
      <c r="Y31" s="335"/>
      <c r="Z31" s="336"/>
      <c r="AA31" s="119"/>
      <c r="AB31" s="116"/>
      <c r="AC31" s="409"/>
      <c r="AD31" s="114" t="s">
        <v>87</v>
      </c>
      <c r="AE31" s="335">
        <f>AE25*70+AE26*75+AE27*25+AE28*45+AE30*120+AE29*60</f>
        <v>352</v>
      </c>
      <c r="AF31" s="335"/>
      <c r="AG31" s="336"/>
      <c r="AH31" s="120"/>
      <c r="AI31" s="121"/>
      <c r="AJ31" s="102">
        <f t="shared" si="6"/>
        <v>335.2</v>
      </c>
      <c r="AT31" s="73"/>
    </row>
    <row r="32" spans="1:52" s="50" customFormat="1" ht="18.75" customHeight="1">
      <c r="A32" s="81"/>
      <c r="B32" s="82"/>
      <c r="C32" s="82"/>
      <c r="D32" s="122"/>
      <c r="E32" s="122"/>
      <c r="F32" s="83"/>
      <c r="G32" s="82"/>
      <c r="H32" s="84"/>
      <c r="I32" s="82"/>
      <c r="J32" s="82"/>
      <c r="K32" s="122"/>
      <c r="L32" s="122"/>
      <c r="M32" s="83"/>
      <c r="N32" s="82"/>
      <c r="O32" s="85"/>
      <c r="P32" s="81"/>
      <c r="Q32" s="81"/>
      <c r="R32" s="89"/>
      <c r="S32" s="89"/>
      <c r="T32" s="83"/>
      <c r="U32" s="82"/>
      <c r="V32" s="84"/>
      <c r="W32" s="81"/>
      <c r="X32" s="81"/>
      <c r="Y32" s="89"/>
      <c r="Z32" s="89"/>
      <c r="AA32" s="83"/>
      <c r="AB32" s="82"/>
      <c r="AC32" s="81"/>
      <c r="AD32" s="82"/>
      <c r="AE32" s="82"/>
      <c r="AF32" s="122"/>
      <c r="AG32" s="122"/>
      <c r="AH32" s="83"/>
      <c r="AI32" s="82"/>
      <c r="AJ32" s="83"/>
      <c r="AK32" s="82"/>
      <c r="AT32" s="73"/>
      <c r="AU32" s="23"/>
      <c r="AV32" s="23"/>
      <c r="AW32" s="75"/>
      <c r="AX32" s="74"/>
      <c r="AY32" s="51"/>
      <c r="AZ32" s="52"/>
    </row>
    <row r="33" spans="1:63" s="50" customFormat="1" ht="19.5" customHeight="1">
      <c r="A33" s="373" t="s">
        <v>50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123"/>
      <c r="AJ33" s="123"/>
      <c r="AK33" s="63"/>
      <c r="AL33" s="64"/>
      <c r="AM33" s="64"/>
      <c r="AN33" s="65"/>
      <c r="AO33" s="65"/>
      <c r="AP33" s="65"/>
      <c r="AQ33" s="65"/>
      <c r="AR33" s="65"/>
      <c r="AS33" s="65"/>
      <c r="AT33" s="73"/>
      <c r="AU33" s="23"/>
      <c r="AV33" s="23"/>
      <c r="AW33" s="92"/>
      <c r="AX33" s="97"/>
      <c r="AY33" s="51"/>
      <c r="AZ33" s="52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</row>
    <row r="34" spans="1:63" s="50" customFormat="1" ht="22.5" customHeight="1">
      <c r="A34" s="385" t="s">
        <v>61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124"/>
      <c r="AJ34" s="124"/>
      <c r="AK34" s="65"/>
      <c r="AL34" s="66"/>
      <c r="AM34" s="66"/>
      <c r="AN34" s="65"/>
      <c r="AO34" s="65"/>
      <c r="AP34" s="65"/>
      <c r="AQ34" s="65"/>
      <c r="AR34" s="65"/>
      <c r="AS34" s="65"/>
      <c r="AT34" s="73"/>
      <c r="AU34" s="23"/>
      <c r="AV34" s="23"/>
      <c r="AW34" s="92"/>
      <c r="AX34" s="97"/>
      <c r="AY34" s="51"/>
      <c r="AZ34" s="52">
        <f>AW34*AY34</f>
        <v>0</v>
      </c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</row>
    <row r="37" spans="30:36" ht="22.5" customHeight="1">
      <c r="AD37" s="448" t="s">
        <v>23</v>
      </c>
      <c r="AE37" s="450">
        <f>'第二週'!AE37+7</f>
        <v>7</v>
      </c>
      <c r="AF37" s="450"/>
      <c r="AG37" s="450"/>
      <c r="AH37" s="450"/>
      <c r="AI37" s="131"/>
      <c r="AJ37" s="132"/>
    </row>
    <row r="38" spans="30:36" ht="22.5" customHeight="1">
      <c r="AD38" s="449"/>
      <c r="AE38" s="41" t="s">
        <v>88</v>
      </c>
      <c r="AF38" s="41" t="s">
        <v>25</v>
      </c>
      <c r="AG38" s="42" t="s">
        <v>26</v>
      </c>
      <c r="AH38" s="42"/>
      <c r="AI38" s="43" t="s">
        <v>28</v>
      </c>
      <c r="AJ38" s="41" t="s">
        <v>29</v>
      </c>
    </row>
    <row r="39" spans="30:36" ht="22.5" customHeight="1">
      <c r="AD39" s="449"/>
      <c r="AE39" s="355" t="s">
        <v>30</v>
      </c>
      <c r="AF39" s="355"/>
      <c r="AG39" s="355"/>
      <c r="AH39" s="355"/>
      <c r="AI39" s="45"/>
      <c r="AJ39" s="46"/>
    </row>
    <row r="40" spans="30:36" ht="22.5" customHeight="1">
      <c r="AD40" s="451" t="s">
        <v>35</v>
      </c>
      <c r="AE40" s="353"/>
      <c r="AF40" s="353"/>
      <c r="AG40" s="353"/>
      <c r="AH40" s="353"/>
      <c r="AI40" s="86"/>
      <c r="AJ40" s="87"/>
    </row>
    <row r="41" spans="30:36" ht="22.5" customHeight="1">
      <c r="AD41" s="442" t="s">
        <v>167</v>
      </c>
      <c r="AE41" s="211" t="s">
        <v>228</v>
      </c>
      <c r="AF41" s="23">
        <v>16</v>
      </c>
      <c r="AG41" s="23">
        <f>ROUND($AE$1*AF41/1000,1)</f>
        <v>1.2</v>
      </c>
      <c r="AH41" s="23" t="s">
        <v>0</v>
      </c>
      <c r="AI41" s="261">
        <v>290</v>
      </c>
      <c r="AJ41" s="52">
        <f>AG41*AI41</f>
        <v>348</v>
      </c>
    </row>
    <row r="42" spans="30:36" ht="22.5" customHeight="1">
      <c r="AD42" s="443"/>
      <c r="AE42" s="23" t="s">
        <v>90</v>
      </c>
      <c r="AF42" s="23">
        <v>1</v>
      </c>
      <c r="AG42" s="23" t="s">
        <v>20</v>
      </c>
      <c r="AH42" s="23" t="s">
        <v>0</v>
      </c>
      <c r="AI42" s="261"/>
      <c r="AJ42" s="52"/>
    </row>
    <row r="43" spans="30:36" ht="22.5" customHeight="1">
      <c r="AD43" s="443"/>
      <c r="AE43" s="23" t="s">
        <v>71</v>
      </c>
      <c r="AF43" s="23">
        <v>1</v>
      </c>
      <c r="AG43" s="23">
        <f>ROUND($AE$1*AF43/1000,1)</f>
        <v>0.1</v>
      </c>
      <c r="AH43" s="23" t="s">
        <v>0</v>
      </c>
      <c r="AI43" s="261">
        <v>121</v>
      </c>
      <c r="AJ43" s="52">
        <f>AG43*AI43</f>
        <v>12.100000000000001</v>
      </c>
    </row>
    <row r="44" spans="30:36" ht="22.5" customHeight="1">
      <c r="AD44" s="443"/>
      <c r="AE44" s="23" t="s">
        <v>164</v>
      </c>
      <c r="AF44" s="23">
        <v>2</v>
      </c>
      <c r="AG44" s="23" t="s">
        <v>20</v>
      </c>
      <c r="AH44" s="23" t="s">
        <v>0</v>
      </c>
      <c r="AI44" s="261"/>
      <c r="AJ44" s="52"/>
    </row>
    <row r="45" spans="30:36" ht="22.5" customHeight="1">
      <c r="AD45" s="443"/>
      <c r="AE45" s="23" t="s">
        <v>165</v>
      </c>
      <c r="AF45" s="23">
        <v>18</v>
      </c>
      <c r="AG45" s="23">
        <f>ROUND($AE$1*AF45/600,0)</f>
        <v>2</v>
      </c>
      <c r="AH45" s="23" t="s">
        <v>19</v>
      </c>
      <c r="AI45" s="261">
        <v>66</v>
      </c>
      <c r="AJ45" s="52">
        <f aca="true" t="shared" si="7" ref="AJ45:AJ50">AG45*AI45</f>
        <v>132</v>
      </c>
    </row>
    <row r="46" spans="30:36" ht="22.5" customHeight="1">
      <c r="AD46" s="443"/>
      <c r="AE46" s="23" t="s">
        <v>1</v>
      </c>
      <c r="AF46" s="23">
        <v>30</v>
      </c>
      <c r="AG46" s="23">
        <f>ROUND($AE$1*AF46/1000,1)</f>
        <v>2.2</v>
      </c>
      <c r="AH46" s="23" t="s">
        <v>0</v>
      </c>
      <c r="AI46" s="261">
        <v>61</v>
      </c>
      <c r="AJ46" s="52">
        <f t="shared" si="7"/>
        <v>134.20000000000002</v>
      </c>
    </row>
    <row r="47" spans="30:36" ht="22.5" customHeight="1">
      <c r="AD47" s="443"/>
      <c r="AE47" s="23"/>
      <c r="AF47" s="23"/>
      <c r="AG47" s="23"/>
      <c r="AH47" s="23"/>
      <c r="AI47" s="206"/>
      <c r="AJ47" s="52">
        <f t="shared" si="7"/>
        <v>0</v>
      </c>
    </row>
    <row r="48" spans="30:36" ht="22.5" customHeight="1">
      <c r="AD48" s="443"/>
      <c r="AE48" s="23" t="s">
        <v>44</v>
      </c>
      <c r="AF48" s="23">
        <v>55</v>
      </c>
      <c r="AG48" s="23">
        <f>ROUND($AE$1*AF48/1000,1)</f>
        <v>4</v>
      </c>
      <c r="AH48" s="75" t="s">
        <v>0</v>
      </c>
      <c r="AI48" s="206"/>
      <c r="AJ48" s="52">
        <f t="shared" si="7"/>
        <v>0</v>
      </c>
    </row>
    <row r="49" spans="30:36" ht="22.5" customHeight="1">
      <c r="AD49" s="443"/>
      <c r="AE49" s="149"/>
      <c r="AF49" s="149"/>
      <c r="AG49" s="92"/>
      <c r="AH49" s="92"/>
      <c r="AI49" s="206"/>
      <c r="AJ49" s="52">
        <f t="shared" si="7"/>
        <v>0</v>
      </c>
    </row>
    <row r="50" spans="30:36" ht="22.5" customHeight="1">
      <c r="AD50" s="443"/>
      <c r="AE50" s="149"/>
      <c r="AF50" s="149"/>
      <c r="AG50" s="92"/>
      <c r="AH50" s="92"/>
      <c r="AI50" s="206"/>
      <c r="AJ50" s="52">
        <f t="shared" si="7"/>
        <v>0</v>
      </c>
    </row>
    <row r="51" spans="30:36" ht="22.5" customHeight="1">
      <c r="AD51" s="339" t="s">
        <v>38</v>
      </c>
      <c r="AE51" s="339"/>
      <c r="AF51" s="339"/>
      <c r="AG51" s="339"/>
      <c r="AH51" s="339"/>
      <c r="AI51" s="86"/>
      <c r="AJ51" s="87"/>
    </row>
    <row r="52" spans="30:36" ht="22.5" customHeight="1">
      <c r="AD52" s="434" t="s">
        <v>153</v>
      </c>
      <c r="AE52" s="62" t="s">
        <v>154</v>
      </c>
      <c r="AF52" s="62">
        <v>15</v>
      </c>
      <c r="AG52" s="75" t="s">
        <v>20</v>
      </c>
      <c r="AH52" s="75" t="s">
        <v>0</v>
      </c>
      <c r="AI52" s="206"/>
      <c r="AJ52" s="52"/>
    </row>
    <row r="53" spans="30:36" ht="22.5" customHeight="1">
      <c r="AD53" s="434"/>
      <c r="AE53" s="198" t="s">
        <v>155</v>
      </c>
      <c r="AF53" s="62">
        <v>5.5</v>
      </c>
      <c r="AG53" s="23">
        <f>ROUND($AE$1*AF53/300,1)</f>
        <v>1.3</v>
      </c>
      <c r="AH53" s="160" t="s">
        <v>21</v>
      </c>
      <c r="AI53" s="261">
        <v>80</v>
      </c>
      <c r="AJ53" s="52">
        <f>AG53*AI53</f>
        <v>104</v>
      </c>
    </row>
    <row r="54" spans="30:36" ht="22.5" customHeight="1">
      <c r="AD54" s="434"/>
      <c r="AE54" s="57" t="s">
        <v>156</v>
      </c>
      <c r="AF54" s="23">
        <v>110</v>
      </c>
      <c r="AG54" s="23">
        <f>ROUND($AE$1*AF54/2000,1)</f>
        <v>4</v>
      </c>
      <c r="AH54" s="52" t="s">
        <v>47</v>
      </c>
      <c r="AI54" s="261">
        <v>170</v>
      </c>
      <c r="AJ54" s="52">
        <f>AG54*AI54</f>
        <v>680</v>
      </c>
    </row>
    <row r="55" spans="30:36" ht="22.5" customHeight="1">
      <c r="AD55" s="434"/>
      <c r="AE55" s="62" t="s">
        <v>157</v>
      </c>
      <c r="AF55" s="23"/>
      <c r="AG55" s="75" t="s">
        <v>20</v>
      </c>
      <c r="AH55" s="75" t="s">
        <v>0</v>
      </c>
      <c r="AI55" s="261"/>
      <c r="AJ55" s="52"/>
    </row>
    <row r="56" spans="30:36" ht="22.5" customHeight="1">
      <c r="AD56" s="434"/>
      <c r="AE56" s="23" t="s">
        <v>158</v>
      </c>
      <c r="AF56" s="23">
        <v>10</v>
      </c>
      <c r="AG56" s="75">
        <v>3</v>
      </c>
      <c r="AH56" s="75" t="s">
        <v>19</v>
      </c>
      <c r="AI56" s="261">
        <v>30</v>
      </c>
      <c r="AJ56" s="52">
        <f>AG56*AI56</f>
        <v>90</v>
      </c>
    </row>
    <row r="57" spans="30:36" ht="22.5" customHeight="1">
      <c r="AD57" s="434"/>
      <c r="AE57" s="23"/>
      <c r="AF57" s="23"/>
      <c r="AG57" s="75"/>
      <c r="AH57" s="75"/>
      <c r="AI57" s="206"/>
      <c r="AJ57" s="52">
        <f>AG57*AI57</f>
        <v>0</v>
      </c>
    </row>
    <row r="58" spans="30:36" ht="22.5" customHeight="1">
      <c r="AD58" s="434"/>
      <c r="AE58" s="62" t="s">
        <v>159</v>
      </c>
      <c r="AF58" s="59"/>
      <c r="AG58" s="75"/>
      <c r="AH58" s="75"/>
      <c r="AI58" s="206"/>
      <c r="AJ58" s="52">
        <f>AG58*AI58</f>
        <v>0</v>
      </c>
    </row>
    <row r="59" spans="30:36" ht="22.5" customHeight="1" thickBot="1">
      <c r="AD59" s="337"/>
      <c r="AE59" s="150"/>
      <c r="AF59" s="150"/>
      <c r="AG59" s="151"/>
      <c r="AH59" s="151"/>
      <c r="AI59" s="207"/>
      <c r="AJ59" s="52">
        <f>AG59*AI59</f>
        <v>0</v>
      </c>
    </row>
    <row r="60" spans="30:36" ht="22.5" customHeight="1">
      <c r="AD60" s="394" t="s">
        <v>79</v>
      </c>
      <c r="AE60" s="101" t="s">
        <v>80</v>
      </c>
      <c r="AF60" s="343">
        <v>2.8</v>
      </c>
      <c r="AG60" s="343"/>
      <c r="AH60" s="344"/>
      <c r="AI60" s="383">
        <f>SUM(AJ41:AJ59)</f>
        <v>1500.3000000000002</v>
      </c>
      <c r="AJ60" s="371"/>
    </row>
    <row r="61" spans="30:36" ht="22.5" customHeight="1">
      <c r="AD61" s="395"/>
      <c r="AE61" s="103" t="s">
        <v>81</v>
      </c>
      <c r="AF61" s="345">
        <v>0.7</v>
      </c>
      <c r="AG61" s="345"/>
      <c r="AH61" s="346"/>
      <c r="AI61" s="104"/>
      <c r="AJ61" s="105"/>
    </row>
    <row r="62" spans="30:36" ht="22.5" customHeight="1">
      <c r="AD62" s="395"/>
      <c r="AE62" s="111" t="s">
        <v>84</v>
      </c>
      <c r="AF62" s="345">
        <v>0.4</v>
      </c>
      <c r="AG62" s="345"/>
      <c r="AH62" s="346"/>
      <c r="AI62" s="104"/>
      <c r="AJ62" s="105"/>
    </row>
    <row r="63" spans="30:36" ht="22.5" customHeight="1">
      <c r="AD63" s="395"/>
      <c r="AE63" s="112" t="s">
        <v>82</v>
      </c>
      <c r="AF63" s="345">
        <v>0.5</v>
      </c>
      <c r="AG63" s="345"/>
      <c r="AH63" s="346"/>
      <c r="AI63" s="104"/>
      <c r="AJ63" s="105"/>
    </row>
    <row r="64" spans="30:36" ht="22.5" customHeight="1">
      <c r="AD64" s="395"/>
      <c r="AE64" s="103" t="s">
        <v>85</v>
      </c>
      <c r="AF64" s="345">
        <v>0.3</v>
      </c>
      <c r="AG64" s="345"/>
      <c r="AH64" s="346"/>
      <c r="AI64" s="104"/>
      <c r="AJ64" s="105"/>
    </row>
    <row r="65" spans="30:36" ht="22.5" customHeight="1">
      <c r="AD65" s="395"/>
      <c r="AE65" s="103" t="s">
        <v>86</v>
      </c>
      <c r="AF65" s="345">
        <v>0.6</v>
      </c>
      <c r="AG65" s="345"/>
      <c r="AH65" s="346"/>
      <c r="AI65" s="104"/>
      <c r="AJ65" s="105"/>
    </row>
    <row r="66" spans="30:36" ht="22.5" customHeight="1" thickBot="1">
      <c r="AD66" s="396"/>
      <c r="AE66" s="114" t="s">
        <v>87</v>
      </c>
      <c r="AF66" s="335">
        <f>AF60*70+AF61*75+AF62*25+AF63*45+AF65*120+AF64*60</f>
        <v>371</v>
      </c>
      <c r="AG66" s="335"/>
      <c r="AH66" s="336"/>
      <c r="AI66" s="115"/>
      <c r="AJ66" s="116"/>
    </row>
  </sheetData>
  <sheetProtection selectLockedCells="1" selectUnlockedCells="1"/>
  <mergeCells count="112">
    <mergeCell ref="AM16:AM23"/>
    <mergeCell ref="A33:AH33"/>
    <mergeCell ref="A34:AH34"/>
    <mergeCell ref="C30:E30"/>
    <mergeCell ref="J30:L30"/>
    <mergeCell ref="Q30:S30"/>
    <mergeCell ref="X30:Z30"/>
    <mergeCell ref="AE30:AG30"/>
    <mergeCell ref="C29:E29"/>
    <mergeCell ref="J29:L29"/>
    <mergeCell ref="C26:E26"/>
    <mergeCell ref="J26:L26"/>
    <mergeCell ref="Q26:S26"/>
    <mergeCell ref="C31:E31"/>
    <mergeCell ref="J31:L31"/>
    <mergeCell ref="Q31:S31"/>
    <mergeCell ref="C27:E27"/>
    <mergeCell ref="C28:E28"/>
    <mergeCell ref="J28:L28"/>
    <mergeCell ref="Q28:S28"/>
    <mergeCell ref="AA25:AB25"/>
    <mergeCell ref="AC25:AC31"/>
    <mergeCell ref="J27:L27"/>
    <mergeCell ref="Q27:S27"/>
    <mergeCell ref="X27:Z27"/>
    <mergeCell ref="X28:Z28"/>
    <mergeCell ref="Q29:S29"/>
    <mergeCell ref="V25:V31"/>
    <mergeCell ref="AE25:AG25"/>
    <mergeCell ref="X29:Z29"/>
    <mergeCell ref="AE29:AG29"/>
    <mergeCell ref="X31:Z31"/>
    <mergeCell ref="AE31:AG31"/>
    <mergeCell ref="AE26:AG26"/>
    <mergeCell ref="X26:Z26"/>
    <mergeCell ref="AE27:AG27"/>
    <mergeCell ref="AE28:AG28"/>
    <mergeCell ref="X25:Z25"/>
    <mergeCell ref="AH25:AI25"/>
    <mergeCell ref="A25:A31"/>
    <mergeCell ref="C25:E25"/>
    <mergeCell ref="F25:G25"/>
    <mergeCell ref="H25:H31"/>
    <mergeCell ref="J25:L25"/>
    <mergeCell ref="M25:N25"/>
    <mergeCell ref="O25:O31"/>
    <mergeCell ref="Q25:S25"/>
    <mergeCell ref="T25:U25"/>
    <mergeCell ref="I4:L4"/>
    <mergeCell ref="H6:H15"/>
    <mergeCell ref="V2:V4"/>
    <mergeCell ref="W2:Z2"/>
    <mergeCell ref="O6:O15"/>
    <mergeCell ref="V5:Z5"/>
    <mergeCell ref="O2:O4"/>
    <mergeCell ref="H2:H4"/>
    <mergeCell ref="I2:L2"/>
    <mergeCell ref="V6:V15"/>
    <mergeCell ref="AE1:AG1"/>
    <mergeCell ref="A5:E5"/>
    <mergeCell ref="H5:L5"/>
    <mergeCell ref="O5:S5"/>
    <mergeCell ref="AC2:AC4"/>
    <mergeCell ref="P4:S4"/>
    <mergeCell ref="W4:Z4"/>
    <mergeCell ref="A2:A4"/>
    <mergeCell ref="B4:E4"/>
    <mergeCell ref="B2:E2"/>
    <mergeCell ref="AC16:AG16"/>
    <mergeCell ref="A17:A24"/>
    <mergeCell ref="H17:H24"/>
    <mergeCell ref="O17:O24"/>
    <mergeCell ref="V17:V24"/>
    <mergeCell ref="V16:Z16"/>
    <mergeCell ref="O16:S16"/>
    <mergeCell ref="AC17:AC24"/>
    <mergeCell ref="AO27:AQ27"/>
    <mergeCell ref="AO28:AQ28"/>
    <mergeCell ref="A16:E16"/>
    <mergeCell ref="H16:L16"/>
    <mergeCell ref="P2:S2"/>
    <mergeCell ref="AD2:AG2"/>
    <mergeCell ref="AD4:AG4"/>
    <mergeCell ref="A6:A15"/>
    <mergeCell ref="AC5:AG5"/>
    <mergeCell ref="AC6:AC15"/>
    <mergeCell ref="AO29:AQ29"/>
    <mergeCell ref="AO30:AQ30"/>
    <mergeCell ref="A1:L1"/>
    <mergeCell ref="P1:AD1"/>
    <mergeCell ref="AM5:AM14"/>
    <mergeCell ref="AM15:AQ15"/>
    <mergeCell ref="AM24:AM30"/>
    <mergeCell ref="AO24:AQ24"/>
    <mergeCell ref="AO25:AQ25"/>
    <mergeCell ref="AO26:AQ26"/>
    <mergeCell ref="AD37:AD39"/>
    <mergeCell ref="AE37:AH37"/>
    <mergeCell ref="AE39:AH39"/>
    <mergeCell ref="AD40:AH40"/>
    <mergeCell ref="AD41:AD50"/>
    <mergeCell ref="AD51:AH51"/>
    <mergeCell ref="AD52:AD59"/>
    <mergeCell ref="AD60:AD66"/>
    <mergeCell ref="AF60:AH60"/>
    <mergeCell ref="AI60:AJ60"/>
    <mergeCell ref="AF61:AH61"/>
    <mergeCell ref="AF62:AH62"/>
    <mergeCell ref="AF63:AH63"/>
    <mergeCell ref="AF64:AH64"/>
    <mergeCell ref="AF65:AH65"/>
    <mergeCell ref="AF66:AH66"/>
  </mergeCells>
  <printOptions/>
  <pageMargins left="0.2362204724409449" right="0.15748031496062992" top="0.15748031496062992" bottom="0.1968503937007874" header="0.5118110236220472" footer="0.5118110236220472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S65"/>
  <sheetViews>
    <sheetView view="pageBreakPreview" zoomScale="98" zoomScaleNormal="85" zoomScaleSheetLayoutView="98" zoomScalePageLayoutView="0" workbookViewId="0" topLeftCell="A2">
      <selection activeCell="E15" sqref="E15"/>
    </sheetView>
  </sheetViews>
  <sheetFormatPr defaultColWidth="6.125" defaultRowHeight="16.5"/>
  <cols>
    <col min="1" max="1" width="3.75390625" style="67" customWidth="1"/>
    <col min="2" max="2" width="18.375" style="68" customWidth="1"/>
    <col min="3" max="3" width="6.125" style="68" hidden="1" customWidth="1"/>
    <col min="4" max="5" width="5.625" style="68" customWidth="1"/>
    <col min="6" max="6" width="6.125" style="69" hidden="1" customWidth="1"/>
    <col min="7" max="7" width="6.125" style="70" hidden="1" customWidth="1"/>
    <col min="8" max="8" width="3.625" style="67" customWidth="1"/>
    <col min="9" max="9" width="18.625" style="68" customWidth="1"/>
    <col min="10" max="10" width="6.125" style="68" hidden="1" customWidth="1"/>
    <col min="11" max="12" width="5.625" style="68" customWidth="1"/>
    <col min="13" max="13" width="6.125" style="69" hidden="1" customWidth="1"/>
    <col min="14" max="14" width="6.125" style="70" hidden="1" customWidth="1"/>
    <col min="15" max="15" width="3.875" style="67" customWidth="1"/>
    <col min="16" max="16" width="19.125" style="68" customWidth="1"/>
    <col min="17" max="17" width="6.125" style="68" hidden="1" customWidth="1"/>
    <col min="18" max="19" width="5.625" style="68" customWidth="1"/>
    <col min="20" max="20" width="6.125" style="69" hidden="1" customWidth="1"/>
    <col min="21" max="21" width="6.125" style="70" hidden="1" customWidth="1"/>
    <col min="22" max="22" width="3.625" style="71" customWidth="1"/>
    <col min="23" max="23" width="16.125" style="68" customWidth="1"/>
    <col min="24" max="24" width="6.125" style="68" hidden="1" customWidth="1"/>
    <col min="25" max="26" width="5.625" style="68" customWidth="1"/>
    <col min="27" max="27" width="6.125" style="69" hidden="1" customWidth="1"/>
    <col min="28" max="28" width="6.125" style="70" hidden="1" customWidth="1"/>
    <col min="29" max="29" width="4.125" style="67" customWidth="1"/>
    <col min="30" max="30" width="16.125" style="68" customWidth="1"/>
    <col min="31" max="31" width="6.125" style="68" hidden="1" customWidth="1"/>
    <col min="32" max="33" width="5.625" style="68" customWidth="1"/>
    <col min="34" max="34" width="6.125" style="72" hidden="1" customWidth="1"/>
    <col min="35" max="35" width="6.125" style="70" hidden="1" customWidth="1"/>
    <col min="36" max="36" width="10.50390625" style="73" bestFit="1" customWidth="1"/>
    <col min="37" max="37" width="8.00390625" style="73" bestFit="1" customWidth="1"/>
    <col min="38" max="16384" width="6.125" style="73" customWidth="1"/>
  </cols>
  <sheetData>
    <row r="1" spans="1:35" s="91" customFormat="1" ht="30" customHeight="1" thickBot="1">
      <c r="A1" s="478" t="str">
        <f>'第三周 '!A1:L1</f>
        <v>僑愛國民小學112學年度下學期第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90"/>
      <c r="N1" s="90"/>
      <c r="O1" s="285">
        <f>'第三周 '!O1+1</f>
        <v>6</v>
      </c>
      <c r="P1" s="348" t="s">
        <v>245</v>
      </c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90"/>
      <c r="AF1" s="90">
        <v>73</v>
      </c>
      <c r="AG1" s="90"/>
      <c r="AH1" s="90"/>
      <c r="AI1" s="90"/>
    </row>
    <row r="2" spans="1:35" s="40" customFormat="1" ht="18.75" customHeight="1">
      <c r="A2" s="479" t="s">
        <v>23</v>
      </c>
      <c r="B2" s="481">
        <f>'第三周 '!B2:E2+7</f>
        <v>45369</v>
      </c>
      <c r="C2" s="481"/>
      <c r="D2" s="481"/>
      <c r="E2" s="481"/>
      <c r="F2" s="217"/>
      <c r="G2" s="218"/>
      <c r="H2" s="482" t="s">
        <v>23</v>
      </c>
      <c r="I2" s="483">
        <f>B2+1</f>
        <v>45370</v>
      </c>
      <c r="J2" s="483"/>
      <c r="K2" s="483"/>
      <c r="L2" s="483"/>
      <c r="M2" s="219"/>
      <c r="N2" s="220"/>
      <c r="O2" s="484" t="s">
        <v>23</v>
      </c>
      <c r="P2" s="485">
        <f>I2+1</f>
        <v>45371</v>
      </c>
      <c r="Q2" s="485"/>
      <c r="R2" s="485"/>
      <c r="S2" s="485"/>
      <c r="T2" s="221"/>
      <c r="U2" s="222"/>
      <c r="V2" s="484" t="s">
        <v>23</v>
      </c>
      <c r="W2" s="486">
        <f>P2+1</f>
        <v>45372</v>
      </c>
      <c r="X2" s="486"/>
      <c r="Y2" s="486"/>
      <c r="Z2" s="486"/>
      <c r="AA2" s="223"/>
      <c r="AB2" s="224"/>
      <c r="AC2" s="484" t="s">
        <v>23</v>
      </c>
      <c r="AD2" s="492">
        <f>W2+1</f>
        <v>45373</v>
      </c>
      <c r="AE2" s="492"/>
      <c r="AF2" s="492"/>
      <c r="AG2" s="493"/>
      <c r="AH2" s="286"/>
      <c r="AI2" s="287"/>
    </row>
    <row r="3" spans="1:35" s="40" customFormat="1" ht="18.75" customHeight="1">
      <c r="A3" s="480"/>
      <c r="B3" s="41" t="s">
        <v>24</v>
      </c>
      <c r="C3" s="41" t="s">
        <v>25</v>
      </c>
      <c r="D3" s="42" t="s">
        <v>26</v>
      </c>
      <c r="E3" s="42" t="s">
        <v>27</v>
      </c>
      <c r="F3" s="43" t="s">
        <v>28</v>
      </c>
      <c r="G3" s="41" t="s">
        <v>29</v>
      </c>
      <c r="H3" s="359"/>
      <c r="I3" s="41" t="s">
        <v>24</v>
      </c>
      <c r="J3" s="41" t="s">
        <v>25</v>
      </c>
      <c r="K3" s="42" t="s">
        <v>26</v>
      </c>
      <c r="L3" s="42" t="s">
        <v>27</v>
      </c>
      <c r="M3" s="43" t="s">
        <v>28</v>
      </c>
      <c r="N3" s="44" t="s">
        <v>29</v>
      </c>
      <c r="O3" s="365"/>
      <c r="P3" s="41" t="s">
        <v>24</v>
      </c>
      <c r="Q3" s="41" t="s">
        <v>25</v>
      </c>
      <c r="R3" s="42" t="s">
        <v>26</v>
      </c>
      <c r="S3" s="42" t="s">
        <v>27</v>
      </c>
      <c r="T3" s="43" t="s">
        <v>28</v>
      </c>
      <c r="U3" s="44" t="s">
        <v>29</v>
      </c>
      <c r="V3" s="365"/>
      <c r="W3" s="41" t="s">
        <v>24</v>
      </c>
      <c r="X3" s="41" t="s">
        <v>25</v>
      </c>
      <c r="Y3" s="42" t="s">
        <v>26</v>
      </c>
      <c r="Z3" s="42" t="s">
        <v>27</v>
      </c>
      <c r="AA3" s="43" t="s">
        <v>28</v>
      </c>
      <c r="AB3" s="44" t="s">
        <v>29</v>
      </c>
      <c r="AC3" s="365"/>
      <c r="AD3" s="41" t="s">
        <v>24</v>
      </c>
      <c r="AE3" s="41" t="s">
        <v>25</v>
      </c>
      <c r="AF3" s="42" t="s">
        <v>26</v>
      </c>
      <c r="AG3" s="225" t="s">
        <v>27</v>
      </c>
      <c r="AH3" s="216" t="s">
        <v>28</v>
      </c>
      <c r="AI3" s="209" t="s">
        <v>29</v>
      </c>
    </row>
    <row r="4" spans="1:35" s="50" customFormat="1" ht="18.75" customHeight="1" hidden="1">
      <c r="A4" s="480"/>
      <c r="B4" s="355" t="s">
        <v>30</v>
      </c>
      <c r="C4" s="355"/>
      <c r="D4" s="355"/>
      <c r="E4" s="355"/>
      <c r="F4" s="45"/>
      <c r="G4" s="46"/>
      <c r="H4" s="359"/>
      <c r="I4" s="355" t="s">
        <v>31</v>
      </c>
      <c r="J4" s="355"/>
      <c r="K4" s="355"/>
      <c r="L4" s="355"/>
      <c r="M4" s="45"/>
      <c r="N4" s="47"/>
      <c r="O4" s="365"/>
      <c r="P4" s="355" t="s">
        <v>32</v>
      </c>
      <c r="Q4" s="355"/>
      <c r="R4" s="355"/>
      <c r="S4" s="355"/>
      <c r="T4" s="43"/>
      <c r="U4" s="48"/>
      <c r="V4" s="365"/>
      <c r="W4" s="355" t="s">
        <v>33</v>
      </c>
      <c r="X4" s="355"/>
      <c r="Y4" s="355"/>
      <c r="Z4" s="355"/>
      <c r="AA4" s="45"/>
      <c r="AB4" s="47"/>
      <c r="AC4" s="365"/>
      <c r="AD4" s="351" t="s">
        <v>34</v>
      </c>
      <c r="AE4" s="351"/>
      <c r="AF4" s="351"/>
      <c r="AG4" s="496"/>
      <c r="AH4" s="45"/>
      <c r="AI4" s="183"/>
    </row>
    <row r="5" spans="1:35" s="50" customFormat="1" ht="18.75" customHeight="1">
      <c r="A5" s="494" t="s">
        <v>35</v>
      </c>
      <c r="B5" s="353"/>
      <c r="C5" s="353"/>
      <c r="D5" s="353"/>
      <c r="E5" s="353"/>
      <c r="F5" s="86"/>
      <c r="G5" s="87"/>
      <c r="H5" s="358" t="s">
        <v>35</v>
      </c>
      <c r="I5" s="353"/>
      <c r="J5" s="353"/>
      <c r="K5" s="353"/>
      <c r="L5" s="353"/>
      <c r="M5" s="86"/>
      <c r="N5" s="88"/>
      <c r="O5" s="352" t="s">
        <v>35</v>
      </c>
      <c r="P5" s="353"/>
      <c r="Q5" s="353"/>
      <c r="R5" s="353"/>
      <c r="S5" s="353"/>
      <c r="T5" s="86"/>
      <c r="U5" s="88"/>
      <c r="V5" s="352" t="s">
        <v>35</v>
      </c>
      <c r="W5" s="353"/>
      <c r="X5" s="353"/>
      <c r="Y5" s="353"/>
      <c r="Z5" s="353"/>
      <c r="AA5" s="86"/>
      <c r="AB5" s="88"/>
      <c r="AC5" s="352" t="s">
        <v>35</v>
      </c>
      <c r="AD5" s="353"/>
      <c r="AE5" s="353"/>
      <c r="AF5" s="353"/>
      <c r="AG5" s="487"/>
      <c r="AH5" s="45"/>
      <c r="AI5" s="183"/>
    </row>
    <row r="6" spans="1:35" s="50" customFormat="1" ht="18.75" customHeight="1">
      <c r="A6" s="490" t="s">
        <v>265</v>
      </c>
      <c r="B6" s="275" t="s">
        <v>276</v>
      </c>
      <c r="C6" s="275">
        <v>2</v>
      </c>
      <c r="D6" s="57">
        <f>ROUND($AF$1*C6/50,0)</f>
        <v>3</v>
      </c>
      <c r="E6" s="152" t="s">
        <v>19</v>
      </c>
      <c r="F6" s="261"/>
      <c r="G6" s="52">
        <f aca="true" t="shared" si="0" ref="G6:G11">D6*F6</f>
        <v>0</v>
      </c>
      <c r="H6" s="488" t="s">
        <v>107</v>
      </c>
      <c r="I6" s="149" t="s">
        <v>108</v>
      </c>
      <c r="J6" s="53">
        <v>2</v>
      </c>
      <c r="K6" s="75">
        <f>ROUND($AF$1*J6/12,0)</f>
        <v>12</v>
      </c>
      <c r="L6" s="74" t="s">
        <v>109</v>
      </c>
      <c r="M6" s="261"/>
      <c r="N6" s="78">
        <f aca="true" t="shared" si="1" ref="N6:N11">K6*M6</f>
        <v>0</v>
      </c>
      <c r="O6" s="442" t="s">
        <v>216</v>
      </c>
      <c r="P6" s="56" t="s">
        <v>130</v>
      </c>
      <c r="Q6" s="23">
        <v>12</v>
      </c>
      <c r="R6" s="75" t="s">
        <v>131</v>
      </c>
      <c r="S6" s="75" t="s">
        <v>0</v>
      </c>
      <c r="T6" s="261"/>
      <c r="U6" s="52"/>
      <c r="V6" s="337" t="s">
        <v>161</v>
      </c>
      <c r="W6" s="23" t="s">
        <v>65</v>
      </c>
      <c r="X6" s="24">
        <v>1.4</v>
      </c>
      <c r="Y6" s="75">
        <f>ROUND($AF$1*X6/20,0)</f>
        <v>5</v>
      </c>
      <c r="Z6" s="25" t="s">
        <v>66</v>
      </c>
      <c r="AA6" s="261"/>
      <c r="AB6" s="52">
        <f aca="true" t="shared" si="2" ref="AB6:AB11">Y6*AA6</f>
        <v>0</v>
      </c>
      <c r="AC6" s="488" t="s">
        <v>125</v>
      </c>
      <c r="AD6" s="53" t="s">
        <v>278</v>
      </c>
      <c r="AE6" s="53">
        <v>45</v>
      </c>
      <c r="AF6" s="75">
        <f>ROUND($AF$1*AE6/550,1)</f>
        <v>6</v>
      </c>
      <c r="AG6" s="226" t="s">
        <v>19</v>
      </c>
      <c r="AH6" s="261"/>
      <c r="AI6" s="52">
        <f aca="true" t="shared" si="3" ref="AI6:AI12">AF6*AH6</f>
        <v>0</v>
      </c>
    </row>
    <row r="7" spans="1:35" s="50" customFormat="1" ht="18.75" customHeight="1">
      <c r="A7" s="491"/>
      <c r="B7" s="56"/>
      <c r="C7" s="56"/>
      <c r="D7" s="92"/>
      <c r="E7" s="92"/>
      <c r="F7" s="261"/>
      <c r="G7" s="52">
        <f t="shared" si="0"/>
        <v>0</v>
      </c>
      <c r="H7" s="489"/>
      <c r="I7" s="53" t="s">
        <v>110</v>
      </c>
      <c r="J7" s="53">
        <v>28</v>
      </c>
      <c r="K7" s="75">
        <f>ROUND($AF$1*J7/1000,1)</f>
        <v>2</v>
      </c>
      <c r="L7" s="74" t="s">
        <v>0</v>
      </c>
      <c r="M7" s="261"/>
      <c r="N7" s="78">
        <f t="shared" si="1"/>
        <v>0</v>
      </c>
      <c r="O7" s="443"/>
      <c r="P7" s="56" t="s">
        <v>132</v>
      </c>
      <c r="Q7" s="23">
        <v>19.5</v>
      </c>
      <c r="R7" s="75" t="s">
        <v>131</v>
      </c>
      <c r="S7" s="75" t="s">
        <v>0</v>
      </c>
      <c r="T7" s="261"/>
      <c r="U7" s="52"/>
      <c r="V7" s="338"/>
      <c r="W7" s="23" t="s">
        <v>187</v>
      </c>
      <c r="X7" s="24">
        <v>0.8</v>
      </c>
      <c r="Y7" s="75">
        <f>ROUND($AF$1*X7/10,0)</f>
        <v>6</v>
      </c>
      <c r="Z7" s="25" t="s">
        <v>21</v>
      </c>
      <c r="AA7" s="261"/>
      <c r="AB7" s="52">
        <f t="shared" si="2"/>
        <v>0</v>
      </c>
      <c r="AC7" s="489"/>
      <c r="AD7" s="53" t="s">
        <v>1</v>
      </c>
      <c r="AE7" s="53">
        <v>16</v>
      </c>
      <c r="AF7" s="75">
        <f>ROUND($AF$1*AE7/1000,1)</f>
        <v>1.2</v>
      </c>
      <c r="AG7" s="226" t="s">
        <v>0</v>
      </c>
      <c r="AH7" s="261"/>
      <c r="AI7" s="52">
        <f t="shared" si="3"/>
        <v>0</v>
      </c>
    </row>
    <row r="8" spans="1:35" s="50" customFormat="1" ht="18.75" customHeight="1">
      <c r="A8" s="491"/>
      <c r="B8" s="230" t="s">
        <v>196</v>
      </c>
      <c r="C8" s="78">
        <v>84</v>
      </c>
      <c r="D8" s="92">
        <f>ROUND($AF$1*C8/1000,0)</f>
        <v>6</v>
      </c>
      <c r="E8" s="78" t="s">
        <v>47</v>
      </c>
      <c r="F8" s="261"/>
      <c r="G8" s="52">
        <f t="shared" si="0"/>
        <v>0</v>
      </c>
      <c r="H8" s="489"/>
      <c r="I8" s="53" t="s">
        <v>186</v>
      </c>
      <c r="J8" s="53">
        <v>1</v>
      </c>
      <c r="K8" s="75" t="s">
        <v>20</v>
      </c>
      <c r="L8" s="74" t="s">
        <v>111</v>
      </c>
      <c r="M8" s="261"/>
      <c r="N8" s="78"/>
      <c r="O8" s="443"/>
      <c r="P8" s="56" t="s">
        <v>217</v>
      </c>
      <c r="Q8" s="23">
        <v>34</v>
      </c>
      <c r="R8" s="75">
        <f>ROUND($AF$1*Q8/1000,1)</f>
        <v>2.5</v>
      </c>
      <c r="S8" s="75" t="s">
        <v>0</v>
      </c>
      <c r="T8" s="261"/>
      <c r="U8" s="52">
        <f aca="true" t="shared" si="4" ref="U8:U15">R8*T8</f>
        <v>0</v>
      </c>
      <c r="V8" s="338"/>
      <c r="W8" s="211" t="s">
        <v>277</v>
      </c>
      <c r="X8" s="23">
        <v>7.8</v>
      </c>
      <c r="Y8" s="75">
        <f>ROUND($AF$1*X8/190,1)</f>
        <v>3</v>
      </c>
      <c r="Z8" s="25" t="s">
        <v>18</v>
      </c>
      <c r="AA8" s="261"/>
      <c r="AB8" s="52">
        <f t="shared" si="2"/>
        <v>0</v>
      </c>
      <c r="AC8" s="489"/>
      <c r="AD8" s="53" t="s">
        <v>63</v>
      </c>
      <c r="AE8" s="53">
        <v>8</v>
      </c>
      <c r="AF8" s="75">
        <f>ROUND($AF$1*AE8/1000,1)</f>
        <v>0.6</v>
      </c>
      <c r="AG8" s="226" t="s">
        <v>0</v>
      </c>
      <c r="AH8" s="261"/>
      <c r="AI8" s="52">
        <f t="shared" si="3"/>
        <v>0</v>
      </c>
    </row>
    <row r="9" spans="1:35" s="50" customFormat="1" ht="18.75" customHeight="1">
      <c r="A9" s="491"/>
      <c r="B9" s="228" t="s">
        <v>231</v>
      </c>
      <c r="C9" s="229">
        <v>41</v>
      </c>
      <c r="D9" s="92">
        <f>ROUND($AF$1*C9/1000,1)</f>
        <v>3</v>
      </c>
      <c r="E9" s="92" t="s">
        <v>18</v>
      </c>
      <c r="F9" s="261"/>
      <c r="G9" s="52">
        <f t="shared" si="0"/>
        <v>0</v>
      </c>
      <c r="H9" s="489"/>
      <c r="I9" s="23" t="s">
        <v>112</v>
      </c>
      <c r="J9" s="53">
        <v>8</v>
      </c>
      <c r="K9" s="75">
        <f>ROUND($AF$1*J9/1000,1)</f>
        <v>0.6</v>
      </c>
      <c r="L9" s="74" t="s">
        <v>0</v>
      </c>
      <c r="M9" s="261"/>
      <c r="N9" s="78">
        <f t="shared" si="1"/>
        <v>0</v>
      </c>
      <c r="O9" s="443"/>
      <c r="P9" s="56" t="s">
        <v>133</v>
      </c>
      <c r="Q9" s="23">
        <v>41</v>
      </c>
      <c r="R9" s="75">
        <f aca="true" t="shared" si="5" ref="R9:R15">ROUND($AF$1*Q9/1000,1)</f>
        <v>3</v>
      </c>
      <c r="S9" s="75" t="s">
        <v>0</v>
      </c>
      <c r="T9" s="261"/>
      <c r="U9" s="52">
        <f t="shared" si="4"/>
        <v>0</v>
      </c>
      <c r="V9" s="338"/>
      <c r="W9" s="23" t="s">
        <v>56</v>
      </c>
      <c r="X9" s="24">
        <v>1</v>
      </c>
      <c r="Y9" s="75">
        <f>ROUND($AF$1*X9/1000,1)</f>
        <v>0.1</v>
      </c>
      <c r="Z9" s="74" t="s">
        <v>0</v>
      </c>
      <c r="AA9" s="261"/>
      <c r="AB9" s="52">
        <f t="shared" si="2"/>
        <v>0</v>
      </c>
      <c r="AC9" s="489"/>
      <c r="AD9" s="23" t="s">
        <v>126</v>
      </c>
      <c r="AE9" s="53">
        <v>4</v>
      </c>
      <c r="AF9" s="75">
        <f>ROUND($AF$1*AE9/1000,1)</f>
        <v>0.3</v>
      </c>
      <c r="AG9" s="226" t="s">
        <v>0</v>
      </c>
      <c r="AH9" s="261"/>
      <c r="AI9" s="52">
        <f t="shared" si="3"/>
        <v>0</v>
      </c>
    </row>
    <row r="10" spans="1:35" s="50" customFormat="1" ht="18.75" customHeight="1">
      <c r="A10" s="491"/>
      <c r="B10" s="56"/>
      <c r="C10" s="56"/>
      <c r="D10" s="92"/>
      <c r="E10" s="92"/>
      <c r="F10" s="261"/>
      <c r="G10" s="52">
        <f t="shared" si="0"/>
        <v>0</v>
      </c>
      <c r="H10" s="489"/>
      <c r="I10" s="53" t="s">
        <v>113</v>
      </c>
      <c r="J10" s="23">
        <v>0.2</v>
      </c>
      <c r="K10" s="75">
        <f>ROUND($AF$1*J10/5,0)</f>
        <v>3</v>
      </c>
      <c r="L10" s="74" t="s">
        <v>111</v>
      </c>
      <c r="M10" s="261"/>
      <c r="N10" s="78">
        <f t="shared" si="1"/>
        <v>0</v>
      </c>
      <c r="O10" s="443"/>
      <c r="P10" s="56" t="s">
        <v>69</v>
      </c>
      <c r="Q10" s="23">
        <v>4</v>
      </c>
      <c r="R10" s="75">
        <f t="shared" si="5"/>
        <v>0.3</v>
      </c>
      <c r="S10" s="75" t="s">
        <v>0</v>
      </c>
      <c r="T10" s="261"/>
      <c r="U10" s="52">
        <f t="shared" si="4"/>
        <v>0</v>
      </c>
      <c r="V10" s="338"/>
      <c r="W10" s="23" t="s">
        <v>36</v>
      </c>
      <c r="X10" s="23">
        <v>14</v>
      </c>
      <c r="Y10" s="75">
        <f>ROUND($AF$1*X10/1000,1)</f>
        <v>1</v>
      </c>
      <c r="Z10" s="74" t="s">
        <v>0</v>
      </c>
      <c r="AA10" s="261"/>
      <c r="AB10" s="52">
        <f t="shared" si="2"/>
        <v>0</v>
      </c>
      <c r="AC10" s="489"/>
      <c r="AD10" s="53" t="s">
        <v>233</v>
      </c>
      <c r="AE10" s="53">
        <v>10</v>
      </c>
      <c r="AF10" s="75" t="s">
        <v>20</v>
      </c>
      <c r="AG10" s="226" t="s">
        <v>0</v>
      </c>
      <c r="AH10" s="261"/>
      <c r="AI10" s="52"/>
    </row>
    <row r="11" spans="1:35" s="50" customFormat="1" ht="18.75" customHeight="1">
      <c r="A11" s="491"/>
      <c r="B11" s="93"/>
      <c r="C11" s="93"/>
      <c r="D11" s="92"/>
      <c r="E11" s="92"/>
      <c r="F11" s="261"/>
      <c r="G11" s="52">
        <f t="shared" si="0"/>
        <v>0</v>
      </c>
      <c r="H11" s="489"/>
      <c r="I11" s="53" t="s">
        <v>215</v>
      </c>
      <c r="J11" s="53">
        <v>69</v>
      </c>
      <c r="K11" s="75">
        <f>ROUND($AF$1*J11/1000,1)</f>
        <v>5</v>
      </c>
      <c r="L11" s="74" t="s">
        <v>0</v>
      </c>
      <c r="M11" s="261"/>
      <c r="N11" s="78">
        <f t="shared" si="1"/>
        <v>0</v>
      </c>
      <c r="O11" s="443"/>
      <c r="P11" s="56" t="s">
        <v>275</v>
      </c>
      <c r="Q11" s="23">
        <v>5</v>
      </c>
      <c r="R11" s="75">
        <f t="shared" si="5"/>
        <v>0.4</v>
      </c>
      <c r="S11" s="75" t="s">
        <v>0</v>
      </c>
      <c r="T11" s="261"/>
      <c r="U11" s="52">
        <f t="shared" si="4"/>
        <v>0</v>
      </c>
      <c r="V11" s="338"/>
      <c r="W11" s="23"/>
      <c r="X11" s="23"/>
      <c r="Y11" s="75"/>
      <c r="Z11" s="74"/>
      <c r="AA11" s="261"/>
      <c r="AB11" s="52">
        <f t="shared" si="2"/>
        <v>0</v>
      </c>
      <c r="AC11" s="489"/>
      <c r="AD11" s="53" t="s">
        <v>22</v>
      </c>
      <c r="AE11" s="53">
        <v>8</v>
      </c>
      <c r="AF11" s="75">
        <f>ROUND($AF$1*AE11/1000,1)</f>
        <v>0.6</v>
      </c>
      <c r="AG11" s="226" t="s">
        <v>0</v>
      </c>
      <c r="AH11" s="261"/>
      <c r="AI11" s="52">
        <f t="shared" si="3"/>
        <v>0</v>
      </c>
    </row>
    <row r="12" spans="1:35" s="50" customFormat="1" ht="18.75" customHeight="1">
      <c r="A12" s="491"/>
      <c r="B12" s="94"/>
      <c r="C12" s="94"/>
      <c r="D12" s="95"/>
      <c r="E12" s="96"/>
      <c r="F12" s="51"/>
      <c r="G12" s="52"/>
      <c r="H12" s="489"/>
      <c r="I12" s="23"/>
      <c r="J12" s="23"/>
      <c r="K12" s="92"/>
      <c r="L12" s="97"/>
      <c r="M12" s="51"/>
      <c r="N12" s="78"/>
      <c r="O12" s="443"/>
      <c r="P12" s="56" t="s">
        <v>64</v>
      </c>
      <c r="Q12" s="23">
        <v>3</v>
      </c>
      <c r="R12" s="75">
        <f t="shared" si="5"/>
        <v>0.2</v>
      </c>
      <c r="S12" s="75" t="s">
        <v>0</v>
      </c>
      <c r="T12" s="51"/>
      <c r="U12" s="52">
        <f t="shared" si="4"/>
        <v>0</v>
      </c>
      <c r="V12" s="338"/>
      <c r="W12" s="28"/>
      <c r="X12" s="29"/>
      <c r="Y12" s="75"/>
      <c r="Z12" s="74"/>
      <c r="AA12" s="51"/>
      <c r="AB12" s="52"/>
      <c r="AC12" s="489"/>
      <c r="AD12" s="23" t="s">
        <v>113</v>
      </c>
      <c r="AE12" s="23">
        <v>0.2</v>
      </c>
      <c r="AF12" s="75">
        <f>ROUND($AF$1*AE12/5,0)</f>
        <v>3</v>
      </c>
      <c r="AG12" s="232" t="s">
        <v>19</v>
      </c>
      <c r="AH12" s="51"/>
      <c r="AI12" s="52">
        <f t="shared" si="3"/>
        <v>0</v>
      </c>
    </row>
    <row r="13" spans="1:35" s="50" customFormat="1" ht="18.75" customHeight="1">
      <c r="A13" s="491"/>
      <c r="B13" s="94"/>
      <c r="C13" s="94"/>
      <c r="D13" s="95"/>
      <c r="E13" s="96"/>
      <c r="F13" s="51"/>
      <c r="G13" s="52"/>
      <c r="H13" s="489"/>
      <c r="I13" s="23"/>
      <c r="J13" s="23"/>
      <c r="K13" s="92"/>
      <c r="L13" s="97"/>
      <c r="M13" s="51"/>
      <c r="N13" s="78"/>
      <c r="O13" s="443"/>
      <c r="P13" s="56" t="s">
        <v>112</v>
      </c>
      <c r="Q13" s="23">
        <v>5</v>
      </c>
      <c r="R13" s="75">
        <f t="shared" si="5"/>
        <v>0.4</v>
      </c>
      <c r="S13" s="75" t="s">
        <v>0</v>
      </c>
      <c r="T13" s="51"/>
      <c r="U13" s="52">
        <f t="shared" si="4"/>
        <v>0</v>
      </c>
      <c r="V13" s="338"/>
      <c r="W13" s="30"/>
      <c r="X13" s="30"/>
      <c r="Y13" s="26"/>
      <c r="Z13" s="27"/>
      <c r="AA13" s="51"/>
      <c r="AB13" s="52"/>
      <c r="AC13" s="489"/>
      <c r="AD13" s="23"/>
      <c r="AE13" s="23"/>
      <c r="AF13" s="92"/>
      <c r="AG13" s="233"/>
      <c r="AH13" s="51"/>
      <c r="AI13" s="52"/>
    </row>
    <row r="14" spans="1:35" s="50" customFormat="1" ht="18.75" customHeight="1">
      <c r="A14" s="491"/>
      <c r="B14" s="98"/>
      <c r="C14" s="98"/>
      <c r="D14" s="95"/>
      <c r="E14" s="96"/>
      <c r="F14" s="51"/>
      <c r="G14" s="52"/>
      <c r="H14" s="489"/>
      <c r="I14" s="23"/>
      <c r="J14" s="23"/>
      <c r="K14" s="92"/>
      <c r="L14" s="97"/>
      <c r="M14" s="51"/>
      <c r="N14" s="78"/>
      <c r="O14" s="443"/>
      <c r="P14" s="80" t="s">
        <v>134</v>
      </c>
      <c r="Q14" s="59"/>
      <c r="R14" s="75" t="s">
        <v>20</v>
      </c>
      <c r="S14" s="75" t="s">
        <v>0</v>
      </c>
      <c r="T14" s="51"/>
      <c r="U14" s="52"/>
      <c r="V14" s="338"/>
      <c r="W14" s="30"/>
      <c r="X14" s="30"/>
      <c r="Y14" s="26"/>
      <c r="Z14" s="27"/>
      <c r="AA14" s="51"/>
      <c r="AB14" s="52"/>
      <c r="AC14" s="489"/>
      <c r="AD14" s="23"/>
      <c r="AE14" s="23"/>
      <c r="AF14" s="75"/>
      <c r="AG14" s="226"/>
      <c r="AH14" s="51"/>
      <c r="AI14" s="52"/>
    </row>
    <row r="15" spans="1:35" s="40" customFormat="1" ht="18.75" customHeight="1">
      <c r="A15" s="491"/>
      <c r="B15" s="98"/>
      <c r="C15" s="98"/>
      <c r="D15" s="95"/>
      <c r="E15" s="96"/>
      <c r="F15" s="51"/>
      <c r="G15" s="52"/>
      <c r="H15" s="489"/>
      <c r="I15" s="23"/>
      <c r="J15" s="23"/>
      <c r="K15" s="92"/>
      <c r="L15" s="97"/>
      <c r="M15" s="51"/>
      <c r="N15" s="78"/>
      <c r="O15" s="443"/>
      <c r="P15" s="80" t="s">
        <v>135</v>
      </c>
      <c r="Q15" s="59">
        <v>1</v>
      </c>
      <c r="R15" s="75">
        <f t="shared" si="5"/>
        <v>0.1</v>
      </c>
      <c r="S15" s="75" t="s">
        <v>0</v>
      </c>
      <c r="T15" s="51"/>
      <c r="U15" s="52">
        <f t="shared" si="4"/>
        <v>0</v>
      </c>
      <c r="V15" s="338"/>
      <c r="W15" s="24"/>
      <c r="X15" s="24"/>
      <c r="Y15" s="26"/>
      <c r="Z15" s="27"/>
      <c r="AA15" s="51"/>
      <c r="AB15" s="52"/>
      <c r="AC15" s="489"/>
      <c r="AD15" s="23"/>
      <c r="AE15" s="23"/>
      <c r="AF15" s="92"/>
      <c r="AG15" s="233"/>
      <c r="AH15" s="51"/>
      <c r="AI15" s="52"/>
    </row>
    <row r="16" spans="1:35" s="50" customFormat="1" ht="18.75" customHeight="1">
      <c r="A16" s="495" t="s">
        <v>38</v>
      </c>
      <c r="B16" s="339"/>
      <c r="C16" s="339"/>
      <c r="D16" s="339"/>
      <c r="E16" s="339"/>
      <c r="F16" s="86"/>
      <c r="G16" s="88"/>
      <c r="H16" s="339" t="s">
        <v>38</v>
      </c>
      <c r="I16" s="339"/>
      <c r="J16" s="339"/>
      <c r="K16" s="339"/>
      <c r="L16" s="339"/>
      <c r="M16" s="86"/>
      <c r="N16" s="87"/>
      <c r="O16" s="384" t="s">
        <v>38</v>
      </c>
      <c r="P16" s="353"/>
      <c r="Q16" s="353"/>
      <c r="R16" s="353"/>
      <c r="S16" s="353"/>
      <c r="T16" s="86"/>
      <c r="U16" s="87"/>
      <c r="V16" s="339" t="s">
        <v>38</v>
      </c>
      <c r="W16" s="339"/>
      <c r="X16" s="339"/>
      <c r="Y16" s="339"/>
      <c r="Z16" s="339"/>
      <c r="AA16" s="86"/>
      <c r="AB16" s="87"/>
      <c r="AC16" s="339" t="s">
        <v>38</v>
      </c>
      <c r="AD16" s="339"/>
      <c r="AE16" s="339"/>
      <c r="AF16" s="339"/>
      <c r="AG16" s="497"/>
      <c r="AH16" s="86"/>
      <c r="AI16" s="87"/>
    </row>
    <row r="17" spans="1:35" s="50" customFormat="1" ht="18.75" customHeight="1">
      <c r="A17" s="499" t="s">
        <v>128</v>
      </c>
      <c r="B17" s="23" t="s">
        <v>59</v>
      </c>
      <c r="C17" s="23">
        <v>12.5</v>
      </c>
      <c r="D17" s="92">
        <f>ROUND($AF$1*C17/300,1)</f>
        <v>3</v>
      </c>
      <c r="E17" s="52" t="s">
        <v>18</v>
      </c>
      <c r="F17" s="157"/>
      <c r="G17" s="52">
        <f aca="true" t="shared" si="6" ref="G17:G22">D17*F17</f>
        <v>0</v>
      </c>
      <c r="H17" s="337" t="s">
        <v>41</v>
      </c>
      <c r="I17" s="29" t="s">
        <v>17</v>
      </c>
      <c r="J17" s="58">
        <v>41</v>
      </c>
      <c r="K17" s="75">
        <f>ROUND($AF$1*J17/1000,1)</f>
        <v>3</v>
      </c>
      <c r="L17" s="74" t="s">
        <v>0</v>
      </c>
      <c r="M17" s="157"/>
      <c r="N17" s="52">
        <f aca="true" t="shared" si="7" ref="N17:N22">K17*M17</f>
        <v>0</v>
      </c>
      <c r="O17" s="360" t="s">
        <v>72</v>
      </c>
      <c r="P17" s="266" t="s">
        <v>196</v>
      </c>
      <c r="Q17" s="267">
        <v>128</v>
      </c>
      <c r="R17" s="268" t="s">
        <v>20</v>
      </c>
      <c r="S17" s="146" t="s">
        <v>47</v>
      </c>
      <c r="T17" s="157"/>
      <c r="U17" s="52"/>
      <c r="V17" s="337" t="s">
        <v>41</v>
      </c>
      <c r="W17" s="29" t="s">
        <v>58</v>
      </c>
      <c r="X17" s="58">
        <v>41</v>
      </c>
      <c r="Y17" s="75">
        <f>ROUND($AF$1*X17/1000,1)</f>
        <v>3</v>
      </c>
      <c r="Z17" s="74" t="s">
        <v>0</v>
      </c>
      <c r="AA17" s="157"/>
      <c r="AB17" s="52">
        <f>Y17*AA17</f>
        <v>0</v>
      </c>
      <c r="AC17" s="475" t="s">
        <v>120</v>
      </c>
      <c r="AD17" s="100" t="s">
        <v>121</v>
      </c>
      <c r="AE17" s="100">
        <v>28</v>
      </c>
      <c r="AF17" s="75">
        <f>ROUND($AF$1*AE17/1000,1)</f>
        <v>2</v>
      </c>
      <c r="AG17" s="226" t="s">
        <v>0</v>
      </c>
      <c r="AH17" s="157"/>
      <c r="AI17" s="52">
        <f>AF17*AH17</f>
        <v>0</v>
      </c>
    </row>
    <row r="18" spans="1:35" s="50" customFormat="1" ht="18.75" customHeight="1">
      <c r="A18" s="500"/>
      <c r="B18" s="23" t="s">
        <v>129</v>
      </c>
      <c r="C18" s="23">
        <v>28</v>
      </c>
      <c r="D18" s="92">
        <f>ROUND($AF$1*C18/1000,1)</f>
        <v>2</v>
      </c>
      <c r="E18" s="52" t="s">
        <v>0</v>
      </c>
      <c r="F18" s="157"/>
      <c r="G18" s="52">
        <f t="shared" si="6"/>
        <v>0</v>
      </c>
      <c r="H18" s="338"/>
      <c r="I18" s="29" t="s">
        <v>73</v>
      </c>
      <c r="J18" s="58">
        <v>41</v>
      </c>
      <c r="K18" s="75">
        <f>ROUND($AF$1*J18/1000,1)</f>
        <v>3</v>
      </c>
      <c r="L18" s="74" t="s">
        <v>0</v>
      </c>
      <c r="M18" s="157"/>
      <c r="N18" s="52">
        <f t="shared" si="7"/>
        <v>0</v>
      </c>
      <c r="O18" s="361"/>
      <c r="P18" s="269" t="s">
        <v>219</v>
      </c>
      <c r="Q18" s="156"/>
      <c r="R18" s="92"/>
      <c r="S18" s="97"/>
      <c r="T18" s="157"/>
      <c r="U18" s="52"/>
      <c r="V18" s="338"/>
      <c r="W18" s="29" t="s">
        <v>168</v>
      </c>
      <c r="X18" s="58">
        <v>41</v>
      </c>
      <c r="Y18" s="75">
        <f>ROUND($AF$1*X18/1000,1)</f>
        <v>3</v>
      </c>
      <c r="Z18" s="74" t="s">
        <v>0</v>
      </c>
      <c r="AA18" s="157"/>
      <c r="AB18" s="52">
        <f>Y18*AA18</f>
        <v>0</v>
      </c>
      <c r="AC18" s="476"/>
      <c r="AD18" s="100" t="s">
        <v>122</v>
      </c>
      <c r="AE18" s="100">
        <v>8</v>
      </c>
      <c r="AF18" s="75">
        <f>ROUND($AF$1*AE18/1000,1)</f>
        <v>0.6</v>
      </c>
      <c r="AG18" s="226" t="s">
        <v>0</v>
      </c>
      <c r="AH18" s="157"/>
      <c r="AI18" s="52">
        <f>AF18*AH18</f>
        <v>0</v>
      </c>
    </row>
    <row r="19" spans="1:35" s="50" customFormat="1" ht="18.75" customHeight="1">
      <c r="A19" s="500"/>
      <c r="B19" s="23" t="s">
        <v>22</v>
      </c>
      <c r="C19" s="23">
        <v>20</v>
      </c>
      <c r="D19" s="92">
        <f>ROUND($AF$1*C19/1000,1)</f>
        <v>1.5</v>
      </c>
      <c r="E19" s="52" t="s">
        <v>0</v>
      </c>
      <c r="F19" s="157"/>
      <c r="G19" s="52">
        <f t="shared" si="6"/>
        <v>0</v>
      </c>
      <c r="H19" s="338"/>
      <c r="I19" s="28"/>
      <c r="J19" s="58"/>
      <c r="K19" s="75"/>
      <c r="L19" s="74"/>
      <c r="M19" s="157"/>
      <c r="N19" s="52">
        <f t="shared" si="7"/>
        <v>0</v>
      </c>
      <c r="O19" s="361"/>
      <c r="P19" s="53" t="s">
        <v>232</v>
      </c>
      <c r="Q19" s="29">
        <v>10</v>
      </c>
      <c r="R19" s="75">
        <f>ROUND($AF$1*Q19/700,0)</f>
        <v>1</v>
      </c>
      <c r="S19" s="146" t="s">
        <v>47</v>
      </c>
      <c r="T19" s="157"/>
      <c r="U19" s="52">
        <f>R19*T19</f>
        <v>0</v>
      </c>
      <c r="V19" s="338"/>
      <c r="W19" s="28"/>
      <c r="X19" s="58"/>
      <c r="Y19" s="75"/>
      <c r="Z19" s="74"/>
      <c r="AA19" s="157"/>
      <c r="AB19" s="52">
        <f>Y19*AA19</f>
        <v>0</v>
      </c>
      <c r="AC19" s="476"/>
      <c r="AD19" s="23" t="s">
        <v>188</v>
      </c>
      <c r="AE19" s="23">
        <v>40</v>
      </c>
      <c r="AF19" s="75">
        <v>1</v>
      </c>
      <c r="AG19" s="226" t="s">
        <v>19</v>
      </c>
      <c r="AH19" s="157"/>
      <c r="AI19" s="52">
        <f>AF19*AH19</f>
        <v>0</v>
      </c>
    </row>
    <row r="20" spans="1:35" s="50" customFormat="1" ht="18.75" customHeight="1">
      <c r="A20" s="500"/>
      <c r="B20" s="23" t="s">
        <v>187</v>
      </c>
      <c r="C20" s="23">
        <v>0.1</v>
      </c>
      <c r="D20" s="92">
        <f>ROUND($AF$1*C20/10,0)</f>
        <v>1</v>
      </c>
      <c r="E20" s="52" t="s">
        <v>21</v>
      </c>
      <c r="F20" s="157"/>
      <c r="G20" s="52">
        <f t="shared" si="6"/>
        <v>0</v>
      </c>
      <c r="H20" s="338"/>
      <c r="I20" s="23"/>
      <c r="J20" s="23"/>
      <c r="K20" s="92"/>
      <c r="L20" s="97"/>
      <c r="M20" s="157"/>
      <c r="N20" s="52">
        <f t="shared" si="7"/>
        <v>0</v>
      </c>
      <c r="O20" s="361"/>
      <c r="P20" s="29" t="s">
        <v>58</v>
      </c>
      <c r="Q20" s="59">
        <v>55</v>
      </c>
      <c r="R20" s="75">
        <f>ROUND($AF$1*Q20/1000,1)</f>
        <v>4</v>
      </c>
      <c r="S20" s="92" t="s">
        <v>0</v>
      </c>
      <c r="T20" s="157"/>
      <c r="U20" s="52">
        <f>R20*T20</f>
        <v>0</v>
      </c>
      <c r="V20" s="338"/>
      <c r="W20" s="23"/>
      <c r="X20" s="23"/>
      <c r="Y20" s="92"/>
      <c r="Z20" s="97"/>
      <c r="AA20" s="157"/>
      <c r="AB20" s="52">
        <f>Y20*AA20</f>
        <v>0</v>
      </c>
      <c r="AC20" s="476"/>
      <c r="AD20" s="266" t="s">
        <v>196</v>
      </c>
      <c r="AE20" s="267">
        <v>84</v>
      </c>
      <c r="AF20" s="268" t="s">
        <v>20</v>
      </c>
      <c r="AG20" s="146" t="s">
        <v>47</v>
      </c>
      <c r="AH20" s="157"/>
      <c r="AI20" s="52"/>
    </row>
    <row r="21" spans="1:35" s="50" customFormat="1" ht="18.75" customHeight="1">
      <c r="A21" s="500"/>
      <c r="B21" s="23" t="s">
        <v>100</v>
      </c>
      <c r="C21" s="23">
        <v>12.5</v>
      </c>
      <c r="D21" s="92">
        <f>ROUND($AF$1*C21/300,1)</f>
        <v>3</v>
      </c>
      <c r="E21" s="52" t="s">
        <v>18</v>
      </c>
      <c r="F21" s="157"/>
      <c r="G21" s="52">
        <f t="shared" si="6"/>
        <v>0</v>
      </c>
      <c r="H21" s="338"/>
      <c r="I21" s="230" t="s">
        <v>196</v>
      </c>
      <c r="J21" s="78">
        <v>128</v>
      </c>
      <c r="K21" s="92">
        <f>ROUND($AF$1*J21/1000,0)</f>
        <v>9</v>
      </c>
      <c r="L21" s="78" t="s">
        <v>47</v>
      </c>
      <c r="M21" s="157"/>
      <c r="N21" s="52">
        <f t="shared" si="7"/>
        <v>0</v>
      </c>
      <c r="O21" s="361"/>
      <c r="P21" s="60"/>
      <c r="Q21" s="78"/>
      <c r="R21" s="75"/>
      <c r="S21" s="78"/>
      <c r="T21" s="157"/>
      <c r="U21" s="52">
        <f>R21*T21</f>
        <v>0</v>
      </c>
      <c r="V21" s="338"/>
      <c r="W21" s="266" t="s">
        <v>196</v>
      </c>
      <c r="X21" s="267">
        <v>128</v>
      </c>
      <c r="Y21" s="268" t="s">
        <v>20</v>
      </c>
      <c r="Z21" s="146" t="s">
        <v>47</v>
      </c>
      <c r="AA21" s="157"/>
      <c r="AB21" s="52"/>
      <c r="AC21" s="476"/>
      <c r="AD21" s="269" t="s">
        <v>222</v>
      </c>
      <c r="AE21" s="156"/>
      <c r="AF21" s="92"/>
      <c r="AG21" s="97"/>
      <c r="AH21" s="157"/>
      <c r="AI21" s="52">
        <f>AF21*AH21</f>
        <v>0</v>
      </c>
    </row>
    <row r="22" spans="1:35" s="50" customFormat="1" ht="18.75" customHeight="1">
      <c r="A22" s="500"/>
      <c r="B22" s="230" t="s">
        <v>196</v>
      </c>
      <c r="C22" s="52">
        <v>14</v>
      </c>
      <c r="D22" s="92">
        <f>ROUND($AF$1*C22/1000,1)</f>
        <v>1</v>
      </c>
      <c r="E22" s="52" t="s">
        <v>47</v>
      </c>
      <c r="F22" s="157"/>
      <c r="G22" s="52">
        <f t="shared" si="6"/>
        <v>0</v>
      </c>
      <c r="H22" s="338"/>
      <c r="I22" s="23"/>
      <c r="J22" s="23"/>
      <c r="K22" s="92"/>
      <c r="L22" s="97"/>
      <c r="M22" s="157"/>
      <c r="N22" s="52">
        <f t="shared" si="7"/>
        <v>0</v>
      </c>
      <c r="O22" s="361"/>
      <c r="P22" s="156"/>
      <c r="Q22" s="156"/>
      <c r="R22" s="92"/>
      <c r="S22" s="97"/>
      <c r="T22" s="157"/>
      <c r="U22" s="52"/>
      <c r="V22" s="338"/>
      <c r="W22" s="269" t="s">
        <v>219</v>
      </c>
      <c r="X22" s="156"/>
      <c r="Y22" s="92"/>
      <c r="Z22" s="97"/>
      <c r="AA22" s="157"/>
      <c r="AB22" s="52"/>
      <c r="AC22" s="476"/>
      <c r="AD22" s="23" t="s">
        <v>123</v>
      </c>
      <c r="AE22" s="23"/>
      <c r="AF22" s="75"/>
      <c r="AG22" s="226"/>
      <c r="AH22" s="157"/>
      <c r="AI22" s="52"/>
    </row>
    <row r="23" spans="1:35" s="50" customFormat="1" ht="18.75" customHeight="1">
      <c r="A23" s="500"/>
      <c r="B23" s="60"/>
      <c r="C23" s="52"/>
      <c r="D23" s="52"/>
      <c r="E23" s="52"/>
      <c r="F23" s="157"/>
      <c r="G23" s="52"/>
      <c r="H23" s="338"/>
      <c r="I23" s="23"/>
      <c r="J23" s="23"/>
      <c r="K23" s="92"/>
      <c r="L23" s="97"/>
      <c r="M23" s="157"/>
      <c r="N23" s="52"/>
      <c r="O23" s="361"/>
      <c r="P23" s="156"/>
      <c r="Q23" s="156"/>
      <c r="R23" s="92"/>
      <c r="S23" s="97"/>
      <c r="T23" s="157"/>
      <c r="U23" s="52"/>
      <c r="V23" s="338"/>
      <c r="W23" s="23"/>
      <c r="X23" s="23"/>
      <c r="Y23" s="92"/>
      <c r="Z23" s="97"/>
      <c r="AA23" s="157"/>
      <c r="AB23" s="52"/>
      <c r="AC23" s="476"/>
      <c r="AD23" s="263" t="s">
        <v>124</v>
      </c>
      <c r="AE23" s="264"/>
      <c r="AF23" s="264"/>
      <c r="AG23" s="265"/>
      <c r="AH23" s="157"/>
      <c r="AI23" s="52"/>
    </row>
    <row r="24" spans="1:35" s="50" customFormat="1" ht="18.75" customHeight="1" thickBot="1">
      <c r="A24" s="501"/>
      <c r="B24" s="176"/>
      <c r="C24" s="176"/>
      <c r="D24" s="179"/>
      <c r="E24" s="180"/>
      <c r="F24" s="231"/>
      <c r="G24" s="234">
        <f>D24*F24</f>
        <v>0</v>
      </c>
      <c r="H24" s="440"/>
      <c r="I24" s="176"/>
      <c r="J24" s="176"/>
      <c r="K24" s="177"/>
      <c r="L24" s="178"/>
      <c r="M24" s="231"/>
      <c r="N24" s="234">
        <f>K24*M24</f>
        <v>0</v>
      </c>
      <c r="O24" s="498"/>
      <c r="P24" s="235"/>
      <c r="Q24" s="236"/>
      <c r="R24" s="177"/>
      <c r="S24" s="178"/>
      <c r="T24" s="231"/>
      <c r="U24" s="234">
        <f>R24*T24</f>
        <v>0</v>
      </c>
      <c r="V24" s="440"/>
      <c r="W24" s="176"/>
      <c r="X24" s="176"/>
      <c r="Y24" s="177"/>
      <c r="Z24" s="178"/>
      <c r="AA24" s="231"/>
      <c r="AB24" s="234">
        <f>Y24*AA24</f>
        <v>0</v>
      </c>
      <c r="AC24" s="477"/>
      <c r="AD24" s="176" t="s">
        <v>16</v>
      </c>
      <c r="AE24" s="176">
        <v>82</v>
      </c>
      <c r="AF24" s="180">
        <f>ROUND($AF$1*AE24/1000,1)</f>
        <v>6</v>
      </c>
      <c r="AG24" s="237" t="s">
        <v>0</v>
      </c>
      <c r="AH24" s="231"/>
      <c r="AI24" s="234">
        <f>AF24*AH24</f>
        <v>0</v>
      </c>
    </row>
    <row r="25" spans="1:37" s="40" customFormat="1" ht="18.75" customHeight="1">
      <c r="A25" s="394" t="s">
        <v>79</v>
      </c>
      <c r="B25" s="101" t="s">
        <v>80</v>
      </c>
      <c r="C25" s="343">
        <v>2</v>
      </c>
      <c r="D25" s="343"/>
      <c r="E25" s="344"/>
      <c r="F25" s="383">
        <f>SUM(G6:G24)</f>
        <v>0</v>
      </c>
      <c r="G25" s="371"/>
      <c r="H25" s="412" t="s">
        <v>79</v>
      </c>
      <c r="I25" s="101" t="s">
        <v>80</v>
      </c>
      <c r="J25" s="343">
        <v>2</v>
      </c>
      <c r="K25" s="343"/>
      <c r="L25" s="344"/>
      <c r="M25" s="383">
        <f>SUM(N6:N24)</f>
        <v>0</v>
      </c>
      <c r="N25" s="371"/>
      <c r="O25" s="407" t="s">
        <v>79</v>
      </c>
      <c r="P25" s="101" t="s">
        <v>80</v>
      </c>
      <c r="Q25" s="343">
        <v>2.2</v>
      </c>
      <c r="R25" s="343"/>
      <c r="S25" s="344"/>
      <c r="T25" s="383">
        <f>SUM(U6:U24)</f>
        <v>0</v>
      </c>
      <c r="U25" s="371"/>
      <c r="V25" s="394" t="s">
        <v>79</v>
      </c>
      <c r="W25" s="101" t="s">
        <v>80</v>
      </c>
      <c r="X25" s="343">
        <v>2</v>
      </c>
      <c r="Y25" s="343"/>
      <c r="Z25" s="344"/>
      <c r="AA25" s="397">
        <f>SUM(AB6:AB24)</f>
        <v>0</v>
      </c>
      <c r="AB25" s="371"/>
      <c r="AC25" s="394" t="s">
        <v>79</v>
      </c>
      <c r="AD25" s="101" t="s">
        <v>80</v>
      </c>
      <c r="AE25" s="343">
        <v>2.5</v>
      </c>
      <c r="AF25" s="343"/>
      <c r="AG25" s="447"/>
      <c r="AH25" s="397">
        <f>SUM(AI6:AI24)</f>
        <v>0</v>
      </c>
      <c r="AI25" s="371"/>
      <c r="AJ25" s="128">
        <f>(AE25+X25+Q25+J25+C25)/5</f>
        <v>2.1399999999999997</v>
      </c>
      <c r="AK25" s="128"/>
    </row>
    <row r="26" spans="1:37" s="40" customFormat="1" ht="18.75" customHeight="1">
      <c r="A26" s="395"/>
      <c r="B26" s="103" t="s">
        <v>81</v>
      </c>
      <c r="C26" s="345">
        <v>0.8</v>
      </c>
      <c r="D26" s="345"/>
      <c r="E26" s="346"/>
      <c r="F26" s="104"/>
      <c r="G26" s="105"/>
      <c r="H26" s="413"/>
      <c r="I26" s="103" t="s">
        <v>81</v>
      </c>
      <c r="J26" s="345">
        <v>0.6</v>
      </c>
      <c r="K26" s="345"/>
      <c r="L26" s="346"/>
      <c r="M26" s="106"/>
      <c r="N26" s="105"/>
      <c r="O26" s="408"/>
      <c r="P26" s="103" t="s">
        <v>81</v>
      </c>
      <c r="Q26" s="345">
        <v>0.5</v>
      </c>
      <c r="R26" s="345"/>
      <c r="S26" s="346"/>
      <c r="T26" s="106"/>
      <c r="U26" s="107"/>
      <c r="V26" s="395"/>
      <c r="W26" s="103" t="s">
        <v>81</v>
      </c>
      <c r="X26" s="345">
        <v>0.8</v>
      </c>
      <c r="Y26" s="345"/>
      <c r="Z26" s="346"/>
      <c r="AA26" s="108"/>
      <c r="AB26" s="105"/>
      <c r="AC26" s="395"/>
      <c r="AD26" s="103" t="s">
        <v>81</v>
      </c>
      <c r="AE26" s="345">
        <v>0.5</v>
      </c>
      <c r="AF26" s="345"/>
      <c r="AG26" s="438"/>
      <c r="AH26" s="109"/>
      <c r="AI26" s="110"/>
      <c r="AJ26" s="128">
        <f aca="true" t="shared" si="8" ref="AJ26:AJ31">(AE26+X26+Q26+J26+C26)/5</f>
        <v>0.64</v>
      </c>
      <c r="AK26" s="128"/>
    </row>
    <row r="27" spans="1:37" s="40" customFormat="1" ht="18.75" customHeight="1">
      <c r="A27" s="395"/>
      <c r="B27" s="111" t="s">
        <v>84</v>
      </c>
      <c r="C27" s="345">
        <v>0.2</v>
      </c>
      <c r="D27" s="345"/>
      <c r="E27" s="346"/>
      <c r="F27" s="104"/>
      <c r="G27" s="105"/>
      <c r="H27" s="413"/>
      <c r="I27" s="111" t="s">
        <v>84</v>
      </c>
      <c r="J27" s="345">
        <v>0.5</v>
      </c>
      <c r="K27" s="345"/>
      <c r="L27" s="346"/>
      <c r="M27" s="106"/>
      <c r="N27" s="105"/>
      <c r="O27" s="408"/>
      <c r="P27" s="111" t="s">
        <v>84</v>
      </c>
      <c r="Q27" s="345">
        <v>0.5</v>
      </c>
      <c r="R27" s="345"/>
      <c r="S27" s="346"/>
      <c r="T27" s="106"/>
      <c r="U27" s="107"/>
      <c r="V27" s="395"/>
      <c r="W27" s="111" t="s">
        <v>84</v>
      </c>
      <c r="X27" s="345">
        <v>0.3</v>
      </c>
      <c r="Y27" s="345"/>
      <c r="Z27" s="346"/>
      <c r="AA27" s="108"/>
      <c r="AB27" s="105"/>
      <c r="AC27" s="395"/>
      <c r="AD27" s="111" t="s">
        <v>84</v>
      </c>
      <c r="AE27" s="345">
        <v>0.4</v>
      </c>
      <c r="AF27" s="345"/>
      <c r="AG27" s="438"/>
      <c r="AH27" s="109"/>
      <c r="AI27" s="110"/>
      <c r="AJ27" s="128">
        <f t="shared" si="8"/>
        <v>0.38</v>
      </c>
      <c r="AK27" s="128"/>
    </row>
    <row r="28" spans="1:37" s="40" customFormat="1" ht="18.75" customHeight="1">
      <c r="A28" s="395"/>
      <c r="B28" s="112" t="s">
        <v>82</v>
      </c>
      <c r="C28" s="345">
        <v>0.5</v>
      </c>
      <c r="D28" s="345"/>
      <c r="E28" s="346"/>
      <c r="F28" s="104"/>
      <c r="G28" s="105"/>
      <c r="H28" s="413"/>
      <c r="I28" s="112" t="s">
        <v>82</v>
      </c>
      <c r="J28" s="345">
        <v>0.5</v>
      </c>
      <c r="K28" s="345"/>
      <c r="L28" s="346"/>
      <c r="M28" s="106"/>
      <c r="N28" s="105"/>
      <c r="O28" s="408"/>
      <c r="P28" s="112" t="s">
        <v>82</v>
      </c>
      <c r="Q28" s="345">
        <v>0.5</v>
      </c>
      <c r="R28" s="345"/>
      <c r="S28" s="346"/>
      <c r="T28" s="106"/>
      <c r="U28" s="107"/>
      <c r="V28" s="395"/>
      <c r="W28" s="112" t="s">
        <v>83</v>
      </c>
      <c r="X28" s="345">
        <v>0.5</v>
      </c>
      <c r="Y28" s="345"/>
      <c r="Z28" s="346"/>
      <c r="AA28" s="108"/>
      <c r="AB28" s="105"/>
      <c r="AC28" s="395"/>
      <c r="AD28" s="112" t="s">
        <v>83</v>
      </c>
      <c r="AE28" s="345">
        <v>0.5</v>
      </c>
      <c r="AF28" s="345"/>
      <c r="AG28" s="438"/>
      <c r="AH28" s="109"/>
      <c r="AI28" s="110"/>
      <c r="AJ28" s="128">
        <f t="shared" si="8"/>
        <v>0.5</v>
      </c>
      <c r="AK28" s="128"/>
    </row>
    <row r="29" spans="1:37" s="40" customFormat="1" ht="18.75" customHeight="1">
      <c r="A29" s="395"/>
      <c r="B29" s="103" t="s">
        <v>85</v>
      </c>
      <c r="C29" s="345">
        <v>0</v>
      </c>
      <c r="D29" s="345"/>
      <c r="E29" s="346"/>
      <c r="F29" s="104"/>
      <c r="G29" s="105"/>
      <c r="H29" s="413"/>
      <c r="I29" s="103" t="s">
        <v>85</v>
      </c>
      <c r="J29" s="345">
        <v>1</v>
      </c>
      <c r="K29" s="345"/>
      <c r="L29" s="346"/>
      <c r="M29" s="106"/>
      <c r="N29" s="105"/>
      <c r="O29" s="408"/>
      <c r="P29" s="103" t="s">
        <v>85</v>
      </c>
      <c r="Q29" s="345">
        <v>1</v>
      </c>
      <c r="R29" s="345"/>
      <c r="S29" s="346"/>
      <c r="T29" s="106"/>
      <c r="U29" s="107"/>
      <c r="V29" s="395"/>
      <c r="W29" s="103" t="s">
        <v>85</v>
      </c>
      <c r="X29" s="345">
        <v>1</v>
      </c>
      <c r="Y29" s="345"/>
      <c r="Z29" s="346"/>
      <c r="AA29" s="108"/>
      <c r="AB29" s="105"/>
      <c r="AC29" s="395"/>
      <c r="AD29" s="103" t="s">
        <v>85</v>
      </c>
      <c r="AE29" s="345">
        <v>0.5</v>
      </c>
      <c r="AF29" s="345"/>
      <c r="AG29" s="438"/>
      <c r="AH29" s="109"/>
      <c r="AI29" s="110"/>
      <c r="AJ29" s="128">
        <f t="shared" si="8"/>
        <v>0.7</v>
      </c>
      <c r="AK29" s="128"/>
    </row>
    <row r="30" spans="1:37" s="40" customFormat="1" ht="18.75" customHeight="1">
      <c r="A30" s="395"/>
      <c r="B30" s="103" t="s">
        <v>86</v>
      </c>
      <c r="C30" s="345">
        <v>0.4</v>
      </c>
      <c r="D30" s="345"/>
      <c r="E30" s="346"/>
      <c r="F30" s="104"/>
      <c r="G30" s="105"/>
      <c r="H30" s="413"/>
      <c r="I30" s="103" t="s">
        <v>86</v>
      </c>
      <c r="J30" s="345">
        <v>0.6</v>
      </c>
      <c r="K30" s="345"/>
      <c r="L30" s="346"/>
      <c r="M30" s="113"/>
      <c r="N30" s="105"/>
      <c r="O30" s="408"/>
      <c r="P30" s="103" t="s">
        <v>86</v>
      </c>
      <c r="Q30" s="345">
        <v>0.6</v>
      </c>
      <c r="R30" s="345"/>
      <c r="S30" s="346"/>
      <c r="T30" s="106"/>
      <c r="U30" s="107"/>
      <c r="V30" s="395"/>
      <c r="W30" s="103" t="s">
        <v>86</v>
      </c>
      <c r="X30" s="345">
        <v>0.6</v>
      </c>
      <c r="Y30" s="345"/>
      <c r="Z30" s="346"/>
      <c r="AA30" s="108"/>
      <c r="AB30" s="105"/>
      <c r="AC30" s="395"/>
      <c r="AD30" s="103" t="s">
        <v>86</v>
      </c>
      <c r="AE30" s="345">
        <v>0.4</v>
      </c>
      <c r="AF30" s="345"/>
      <c r="AG30" s="438"/>
      <c r="AH30" s="109"/>
      <c r="AI30" s="110"/>
      <c r="AJ30" s="128">
        <f t="shared" si="8"/>
        <v>0.52</v>
      </c>
      <c r="AK30" s="128"/>
    </row>
    <row r="31" spans="1:37" s="40" customFormat="1" ht="18.75" customHeight="1" thickBot="1">
      <c r="A31" s="396"/>
      <c r="B31" s="114" t="s">
        <v>87</v>
      </c>
      <c r="C31" s="335">
        <f>C25*70+C26*75+C27*25+C28*45+C30*120+C29*60</f>
        <v>275.5</v>
      </c>
      <c r="D31" s="335"/>
      <c r="E31" s="336"/>
      <c r="F31" s="115"/>
      <c r="G31" s="116"/>
      <c r="H31" s="414"/>
      <c r="I31" s="114" t="s">
        <v>87</v>
      </c>
      <c r="J31" s="335">
        <f>J25*70+J26*75+J27*25+J28*45+J30*120+J29*60</f>
        <v>352</v>
      </c>
      <c r="K31" s="335"/>
      <c r="L31" s="336"/>
      <c r="M31" s="117"/>
      <c r="N31" s="116"/>
      <c r="O31" s="409"/>
      <c r="P31" s="114" t="s">
        <v>87</v>
      </c>
      <c r="Q31" s="335">
        <f>Q25*70+Q26*75+Q27*25+Q28*45+Q30*120+Q29*60</f>
        <v>358.5</v>
      </c>
      <c r="R31" s="335"/>
      <c r="S31" s="336"/>
      <c r="T31" s="117"/>
      <c r="U31" s="118"/>
      <c r="V31" s="396"/>
      <c r="W31" s="114" t="s">
        <v>87</v>
      </c>
      <c r="X31" s="335">
        <f>X25*70+X26*75+X27*25+X28*45+X30*120+X29*60</f>
        <v>362</v>
      </c>
      <c r="Y31" s="335"/>
      <c r="Z31" s="336"/>
      <c r="AA31" s="119"/>
      <c r="AB31" s="116"/>
      <c r="AC31" s="396"/>
      <c r="AD31" s="114" t="s">
        <v>87</v>
      </c>
      <c r="AE31" s="335">
        <f>AE25*70+AE26*75+AE27*25+AE28*45+AE30*120+AE29*60</f>
        <v>323</v>
      </c>
      <c r="AF31" s="335"/>
      <c r="AG31" s="441"/>
      <c r="AH31" s="120"/>
      <c r="AI31" s="121"/>
      <c r="AJ31" s="128">
        <f t="shared" si="8"/>
        <v>334.2</v>
      </c>
      <c r="AK31" s="128"/>
    </row>
    <row r="32" spans="1:35" s="50" customFormat="1" ht="18.75" customHeight="1">
      <c r="A32" s="81"/>
      <c r="B32" s="82"/>
      <c r="C32" s="82"/>
      <c r="D32" s="122"/>
      <c r="E32" s="122"/>
      <c r="F32" s="83"/>
      <c r="G32" s="82"/>
      <c r="H32" s="84"/>
      <c r="I32" s="82"/>
      <c r="J32" s="82"/>
      <c r="K32" s="122"/>
      <c r="L32" s="122"/>
      <c r="M32" s="83"/>
      <c r="N32" s="82"/>
      <c r="O32" s="85"/>
      <c r="P32" s="81"/>
      <c r="Q32" s="81"/>
      <c r="R32" s="89"/>
      <c r="S32" s="89"/>
      <c r="T32" s="83"/>
      <c r="U32" s="82"/>
      <c r="V32" s="84"/>
      <c r="W32" s="81"/>
      <c r="X32" s="81"/>
      <c r="Y32" s="89"/>
      <c r="Z32" s="89"/>
      <c r="AA32" s="83"/>
      <c r="AB32" s="82"/>
      <c r="AC32" s="81"/>
      <c r="AD32" s="82"/>
      <c r="AE32" s="82"/>
      <c r="AF32" s="122"/>
      <c r="AG32" s="122"/>
      <c r="AH32" s="83"/>
      <c r="AI32" s="82"/>
    </row>
    <row r="33" spans="1:45" s="50" customFormat="1" ht="19.5" customHeight="1">
      <c r="A33" s="373" t="s">
        <v>50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123"/>
      <c r="AJ33" s="65"/>
      <c r="AK33" s="65"/>
      <c r="AL33" s="65"/>
      <c r="AM33" s="65"/>
      <c r="AN33" s="65"/>
      <c r="AO33" s="65"/>
      <c r="AP33" s="65"/>
      <c r="AQ33" s="65"/>
      <c r="AR33" s="65"/>
      <c r="AS33" s="65"/>
    </row>
    <row r="34" spans="1:45" s="50" customFormat="1" ht="22.5" customHeight="1">
      <c r="A34" s="385" t="s">
        <v>61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124"/>
      <c r="AJ34" s="65"/>
      <c r="AK34" s="65"/>
      <c r="AL34" s="65"/>
      <c r="AM34" s="65"/>
      <c r="AN34" s="65"/>
      <c r="AO34" s="65"/>
      <c r="AP34" s="65"/>
      <c r="AQ34" s="65"/>
      <c r="AR34" s="65"/>
      <c r="AS34" s="65"/>
    </row>
    <row r="35" ht="22.5" customHeight="1"/>
    <row r="40" spans="6:10" ht="26.25">
      <c r="F40" s="442" t="s">
        <v>184</v>
      </c>
      <c r="G40" s="56" t="s">
        <v>218</v>
      </c>
      <c r="H40" s="56">
        <v>0.8</v>
      </c>
      <c r="I40" s="92">
        <v>75</v>
      </c>
      <c r="J40" s="92" t="s">
        <v>14</v>
      </c>
    </row>
    <row r="41" spans="6:10" ht="26.25">
      <c r="F41" s="443"/>
      <c r="G41" s="56"/>
      <c r="H41" s="56"/>
      <c r="I41" s="92"/>
      <c r="J41" s="92"/>
    </row>
    <row r="42" spans="6:10" ht="26.25">
      <c r="F42" s="443"/>
      <c r="G42" s="230" t="s">
        <v>12</v>
      </c>
      <c r="H42" s="78">
        <v>75</v>
      </c>
      <c r="I42" s="92">
        <f>ROUND($AF$1*H42/2000,1)</f>
        <v>2.7</v>
      </c>
      <c r="J42" s="78" t="s">
        <v>47</v>
      </c>
    </row>
    <row r="43" spans="6:10" ht="26.25">
      <c r="F43" s="443"/>
      <c r="G43" s="228" t="s">
        <v>96</v>
      </c>
      <c r="H43" s="229">
        <v>74</v>
      </c>
      <c r="I43" s="92">
        <f>ROUND($AF$1*H43/2000,1)</f>
        <v>2.7</v>
      </c>
      <c r="J43" s="92" t="s">
        <v>18</v>
      </c>
    </row>
    <row r="44" spans="6:10" ht="26.25">
      <c r="F44" s="443"/>
      <c r="G44" s="56"/>
      <c r="H44" s="56"/>
      <c r="I44" s="92"/>
      <c r="J44" s="92"/>
    </row>
    <row r="45" spans="6:10" ht="26.25">
      <c r="F45" s="443"/>
      <c r="G45" s="93"/>
      <c r="H45" s="93"/>
      <c r="I45" s="92"/>
      <c r="J45" s="92"/>
    </row>
    <row r="46" spans="6:10" ht="26.25">
      <c r="F46" s="443"/>
      <c r="G46" s="94"/>
      <c r="H46" s="94"/>
      <c r="I46" s="95"/>
      <c r="J46" s="96"/>
    </row>
    <row r="47" spans="6:10" ht="26.25">
      <c r="F47" s="443"/>
      <c r="G47" s="94"/>
      <c r="H47" s="94"/>
      <c r="I47" s="95"/>
      <c r="J47" s="96"/>
    </row>
    <row r="48" spans="6:10" ht="26.25">
      <c r="F48" s="443"/>
      <c r="G48" s="98"/>
      <c r="H48" s="98"/>
      <c r="I48" s="95"/>
      <c r="J48" s="96"/>
    </row>
    <row r="49" spans="6:10" ht="26.25">
      <c r="F49" s="443"/>
      <c r="G49" s="98"/>
      <c r="H49" s="98"/>
      <c r="I49" s="95"/>
      <c r="J49" s="96"/>
    </row>
    <row r="50" spans="6:10" ht="26.25">
      <c r="F50" s="339" t="s">
        <v>38</v>
      </c>
      <c r="G50" s="339"/>
      <c r="H50" s="339"/>
      <c r="I50" s="339"/>
      <c r="J50" s="339"/>
    </row>
    <row r="51" spans="6:10" ht="26.25">
      <c r="F51" s="475" t="s">
        <v>128</v>
      </c>
      <c r="G51" s="23" t="s">
        <v>59</v>
      </c>
      <c r="H51" s="23">
        <v>5.5</v>
      </c>
      <c r="I51" s="75">
        <v>2</v>
      </c>
      <c r="J51" s="52" t="s">
        <v>18</v>
      </c>
    </row>
    <row r="52" spans="6:10" ht="26.25">
      <c r="F52" s="476"/>
      <c r="G52" s="23" t="s">
        <v>129</v>
      </c>
      <c r="H52" s="23">
        <v>30</v>
      </c>
      <c r="I52" s="75">
        <f>ROUND($AF$1*H52/1000,1)</f>
        <v>2.2</v>
      </c>
      <c r="J52" s="52" t="s">
        <v>0</v>
      </c>
    </row>
    <row r="53" spans="6:10" ht="26.25">
      <c r="F53" s="476"/>
      <c r="G53" s="23" t="s">
        <v>22</v>
      </c>
      <c r="H53" s="23">
        <v>20</v>
      </c>
      <c r="I53" s="75">
        <f>ROUND($AF$1*H53/1000,1)</f>
        <v>1.5</v>
      </c>
      <c r="J53" s="52" t="s">
        <v>0</v>
      </c>
    </row>
    <row r="54" spans="6:10" ht="26.25">
      <c r="F54" s="476"/>
      <c r="G54" s="23" t="s">
        <v>187</v>
      </c>
      <c r="H54" s="23">
        <v>5</v>
      </c>
      <c r="I54" s="75">
        <v>1</v>
      </c>
      <c r="J54" s="52" t="s">
        <v>21</v>
      </c>
    </row>
    <row r="55" spans="6:10" ht="26.25">
      <c r="F55" s="476"/>
      <c r="G55" s="23" t="s">
        <v>100</v>
      </c>
      <c r="H55" s="23">
        <v>10</v>
      </c>
      <c r="I55" s="75">
        <v>2</v>
      </c>
      <c r="J55" s="52" t="s">
        <v>18</v>
      </c>
    </row>
    <row r="56" spans="6:10" ht="26.25">
      <c r="F56" s="476"/>
      <c r="G56" s="60" t="s">
        <v>95</v>
      </c>
      <c r="H56" s="52">
        <v>33</v>
      </c>
      <c r="I56" s="52">
        <v>1</v>
      </c>
      <c r="J56" s="52" t="s">
        <v>47</v>
      </c>
    </row>
    <row r="57" spans="6:10" ht="26.25">
      <c r="F57" s="476"/>
      <c r="G57" s="60"/>
      <c r="H57" s="52"/>
      <c r="I57" s="52"/>
      <c r="J57" s="52"/>
    </row>
    <row r="58" spans="6:10" ht="27" thickBot="1">
      <c r="F58" s="477"/>
      <c r="G58" s="176"/>
      <c r="H58" s="176"/>
      <c r="I58" s="179"/>
      <c r="J58" s="180"/>
    </row>
    <row r="59" spans="6:10" ht="26.25">
      <c r="F59" s="394" t="s">
        <v>79</v>
      </c>
      <c r="G59" s="101" t="s">
        <v>80</v>
      </c>
      <c r="H59" s="343">
        <v>2</v>
      </c>
      <c r="I59" s="343"/>
      <c r="J59" s="344"/>
    </row>
    <row r="60" spans="6:10" ht="26.25">
      <c r="F60" s="395"/>
      <c r="G60" s="103" t="s">
        <v>81</v>
      </c>
      <c r="H60" s="345">
        <v>0.8</v>
      </c>
      <c r="I60" s="345"/>
      <c r="J60" s="346"/>
    </row>
    <row r="61" spans="6:10" ht="26.25">
      <c r="F61" s="395"/>
      <c r="G61" s="111" t="s">
        <v>84</v>
      </c>
      <c r="H61" s="345">
        <v>0.2</v>
      </c>
      <c r="I61" s="345"/>
      <c r="J61" s="346"/>
    </row>
    <row r="62" spans="6:10" ht="26.25">
      <c r="F62" s="395"/>
      <c r="G62" s="112" t="s">
        <v>82</v>
      </c>
      <c r="H62" s="345">
        <v>0.5</v>
      </c>
      <c r="I62" s="345"/>
      <c r="J62" s="346"/>
    </row>
    <row r="63" spans="6:10" ht="26.25">
      <c r="F63" s="395"/>
      <c r="G63" s="103" t="s">
        <v>85</v>
      </c>
      <c r="H63" s="345">
        <v>0</v>
      </c>
      <c r="I63" s="345"/>
      <c r="J63" s="346"/>
    </row>
    <row r="64" spans="6:10" ht="26.25">
      <c r="F64" s="395"/>
      <c r="G64" s="103" t="s">
        <v>86</v>
      </c>
      <c r="H64" s="345">
        <v>0.4</v>
      </c>
      <c r="I64" s="345"/>
      <c r="J64" s="346"/>
    </row>
    <row r="65" spans="6:10" ht="27" thickBot="1">
      <c r="F65" s="396"/>
      <c r="G65" s="114" t="s">
        <v>87</v>
      </c>
      <c r="H65" s="335">
        <f>H59*70+H60*75+H61*25+H62*45+H64*120+H63*60</f>
        <v>275.5</v>
      </c>
      <c r="I65" s="335"/>
      <c r="J65" s="336"/>
    </row>
  </sheetData>
  <sheetProtection/>
  <mergeCells count="95">
    <mergeCell ref="X31:Z31"/>
    <mergeCell ref="X30:Z30"/>
    <mergeCell ref="X29:Z29"/>
    <mergeCell ref="V17:V24"/>
    <mergeCell ref="X28:Z28"/>
    <mergeCell ref="Q31:S31"/>
    <mergeCell ref="A34:AH34"/>
    <mergeCell ref="X25:Z25"/>
    <mergeCell ref="AA25:AB25"/>
    <mergeCell ref="AC25:AC31"/>
    <mergeCell ref="AE25:AG25"/>
    <mergeCell ref="AH25:AI25"/>
    <mergeCell ref="A33:AH33"/>
    <mergeCell ref="Q25:S25"/>
    <mergeCell ref="T25:U25"/>
    <mergeCell ref="V25:V31"/>
    <mergeCell ref="A25:A31"/>
    <mergeCell ref="J25:L25"/>
    <mergeCell ref="M25:N25"/>
    <mergeCell ref="H16:L16"/>
    <mergeCell ref="C30:E30"/>
    <mergeCell ref="J30:L30"/>
    <mergeCell ref="C29:E29"/>
    <mergeCell ref="J29:L29"/>
    <mergeCell ref="A17:A24"/>
    <mergeCell ref="H17:H24"/>
    <mergeCell ref="F25:G25"/>
    <mergeCell ref="H25:H31"/>
    <mergeCell ref="C27:E27"/>
    <mergeCell ref="J26:L26"/>
    <mergeCell ref="Q27:S27"/>
    <mergeCell ref="Q30:S30"/>
    <mergeCell ref="J27:L27"/>
    <mergeCell ref="Q29:S29"/>
    <mergeCell ref="C31:E31"/>
    <mergeCell ref="J31:L31"/>
    <mergeCell ref="AE30:AG30"/>
    <mergeCell ref="AE31:AG31"/>
    <mergeCell ref="C26:E26"/>
    <mergeCell ref="X27:Z27"/>
    <mergeCell ref="AE27:AG27"/>
    <mergeCell ref="C28:E28"/>
    <mergeCell ref="J28:L28"/>
    <mergeCell ref="Q28:S28"/>
    <mergeCell ref="AE28:AG28"/>
    <mergeCell ref="O25:O31"/>
    <mergeCell ref="AE29:AG29"/>
    <mergeCell ref="AE26:AG26"/>
    <mergeCell ref="Q26:S26"/>
    <mergeCell ref="AD4:AG4"/>
    <mergeCell ref="O16:S16"/>
    <mergeCell ref="V16:Z16"/>
    <mergeCell ref="AC16:AG16"/>
    <mergeCell ref="AC17:AC24"/>
    <mergeCell ref="O17:O24"/>
    <mergeCell ref="H6:H15"/>
    <mergeCell ref="O6:O15"/>
    <mergeCell ref="V6:V15"/>
    <mergeCell ref="X26:Z26"/>
    <mergeCell ref="A5:E5"/>
    <mergeCell ref="H5:L5"/>
    <mergeCell ref="O5:S5"/>
    <mergeCell ref="V5:Z5"/>
    <mergeCell ref="A16:E16"/>
    <mergeCell ref="C25:E25"/>
    <mergeCell ref="W2:Z2"/>
    <mergeCell ref="AC2:AC4"/>
    <mergeCell ref="AC5:AG5"/>
    <mergeCell ref="AC6:AC15"/>
    <mergeCell ref="A6:A15"/>
    <mergeCell ref="AD2:AG2"/>
    <mergeCell ref="B4:E4"/>
    <mergeCell ref="I4:L4"/>
    <mergeCell ref="P4:S4"/>
    <mergeCell ref="W4:Z4"/>
    <mergeCell ref="H64:J64"/>
    <mergeCell ref="A1:L1"/>
    <mergeCell ref="P1:AD1"/>
    <mergeCell ref="A2:A4"/>
    <mergeCell ref="B2:E2"/>
    <mergeCell ref="H2:H4"/>
    <mergeCell ref="I2:L2"/>
    <mergeCell ref="O2:O4"/>
    <mergeCell ref="P2:S2"/>
    <mergeCell ref="V2:V4"/>
    <mergeCell ref="H65:J65"/>
    <mergeCell ref="F40:F49"/>
    <mergeCell ref="F50:J50"/>
    <mergeCell ref="F51:F58"/>
    <mergeCell ref="F59:F65"/>
    <mergeCell ref="H59:J59"/>
    <mergeCell ref="H60:J60"/>
    <mergeCell ref="H61:J61"/>
    <mergeCell ref="H62:J62"/>
    <mergeCell ref="H63:J6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view="pageBreakPreview" zoomScale="85" zoomScaleSheetLayoutView="85" zoomScalePageLayoutView="0" workbookViewId="0" topLeftCell="A1">
      <selection activeCell="H17" sqref="H17:H24"/>
    </sheetView>
  </sheetViews>
  <sheetFormatPr defaultColWidth="6.125" defaultRowHeight="16.5"/>
  <cols>
    <col min="1" max="1" width="3.75390625" style="67" customWidth="1"/>
    <col min="2" max="2" width="18.375" style="68" customWidth="1"/>
    <col min="3" max="3" width="6.125" style="68" hidden="1" customWidth="1"/>
    <col min="4" max="5" width="5.625" style="68" customWidth="1"/>
    <col min="6" max="6" width="6.125" style="69" hidden="1" customWidth="1"/>
    <col min="7" max="7" width="6.125" style="70" hidden="1" customWidth="1"/>
    <col min="8" max="8" width="3.625" style="67" customWidth="1"/>
    <col min="9" max="9" width="18.625" style="68" customWidth="1"/>
    <col min="10" max="10" width="6.125" style="68" hidden="1" customWidth="1"/>
    <col min="11" max="12" width="5.625" style="68" customWidth="1"/>
    <col min="13" max="13" width="6.125" style="69" hidden="1" customWidth="1"/>
    <col min="14" max="14" width="6.125" style="70" hidden="1" customWidth="1"/>
    <col min="15" max="15" width="3.875" style="67" customWidth="1"/>
    <col min="16" max="16" width="19.125" style="68" customWidth="1"/>
    <col min="17" max="17" width="6.125" style="68" hidden="1" customWidth="1"/>
    <col min="18" max="19" width="5.625" style="68" customWidth="1"/>
    <col min="20" max="20" width="6.125" style="69" hidden="1" customWidth="1"/>
    <col min="21" max="21" width="6.125" style="70" hidden="1" customWidth="1"/>
    <col min="22" max="22" width="3.625" style="71" customWidth="1"/>
    <col min="23" max="23" width="16.125" style="68" customWidth="1"/>
    <col min="24" max="24" width="6.125" style="68" hidden="1" customWidth="1"/>
    <col min="25" max="26" width="5.625" style="68" customWidth="1"/>
    <col min="27" max="27" width="6.125" style="69" hidden="1" customWidth="1"/>
    <col min="28" max="28" width="6.125" style="70" hidden="1" customWidth="1"/>
    <col min="29" max="29" width="4.125" style="67" customWidth="1"/>
    <col min="30" max="30" width="16.125" style="68" customWidth="1"/>
    <col min="31" max="31" width="6.125" style="68" hidden="1" customWidth="1"/>
    <col min="32" max="33" width="5.625" style="68" customWidth="1"/>
    <col min="34" max="34" width="6.125" style="72" hidden="1" customWidth="1"/>
    <col min="35" max="35" width="6.125" style="70" hidden="1" customWidth="1"/>
    <col min="36" max="36" width="4.125" style="67" hidden="1" customWidth="1"/>
    <col min="37" max="37" width="16.125" style="68" hidden="1" customWidth="1"/>
    <col min="38" max="38" width="6.125" style="68" hidden="1" customWidth="1"/>
    <col min="39" max="40" width="5.625" style="68" hidden="1" customWidth="1"/>
    <col min="41" max="41" width="6.125" style="72" hidden="1" customWidth="1"/>
    <col min="42" max="42" width="6.125" style="70" hidden="1" customWidth="1"/>
    <col min="43" max="43" width="7.50390625" style="73" bestFit="1" customWidth="1"/>
    <col min="44" max="16384" width="6.125" style="73" customWidth="1"/>
  </cols>
  <sheetData>
    <row r="1" spans="1:42" s="91" customFormat="1" ht="30" customHeight="1" thickBot="1">
      <c r="A1" s="478" t="str">
        <f>'第四周'!A1</f>
        <v>僑愛國民小學112學年度下學期第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90"/>
      <c r="N1" s="90"/>
      <c r="O1" s="285">
        <f>'第四周'!O1+1</f>
        <v>7</v>
      </c>
      <c r="P1" s="502" t="s">
        <v>245</v>
      </c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90">
        <v>73</v>
      </c>
      <c r="AM1" s="90"/>
      <c r="AN1" s="90"/>
      <c r="AO1" s="90"/>
      <c r="AP1" s="90"/>
    </row>
    <row r="2" spans="1:48" s="40" customFormat="1" ht="18.75" customHeight="1">
      <c r="A2" s="479" t="s">
        <v>23</v>
      </c>
      <c r="B2" s="481">
        <f>'第四周'!B2+7</f>
        <v>45376</v>
      </c>
      <c r="C2" s="481"/>
      <c r="D2" s="481"/>
      <c r="E2" s="481"/>
      <c r="F2" s="217"/>
      <c r="G2" s="218"/>
      <c r="H2" s="482" t="s">
        <v>23</v>
      </c>
      <c r="I2" s="483">
        <f>B2+1</f>
        <v>45377</v>
      </c>
      <c r="J2" s="483"/>
      <c r="K2" s="483"/>
      <c r="L2" s="483"/>
      <c r="M2" s="219"/>
      <c r="N2" s="220"/>
      <c r="O2" s="484" t="s">
        <v>23</v>
      </c>
      <c r="P2" s="485">
        <f>I2+1</f>
        <v>45378</v>
      </c>
      <c r="Q2" s="485"/>
      <c r="R2" s="485"/>
      <c r="S2" s="485"/>
      <c r="T2" s="221"/>
      <c r="U2" s="222"/>
      <c r="V2" s="484" t="s">
        <v>23</v>
      </c>
      <c r="W2" s="486">
        <f>P2+1</f>
        <v>45379</v>
      </c>
      <c r="X2" s="486"/>
      <c r="Y2" s="486"/>
      <c r="Z2" s="486"/>
      <c r="AA2" s="223"/>
      <c r="AB2" s="224"/>
      <c r="AC2" s="484" t="s">
        <v>23</v>
      </c>
      <c r="AD2" s="492">
        <f>W2+1</f>
        <v>45380</v>
      </c>
      <c r="AE2" s="492"/>
      <c r="AF2" s="492"/>
      <c r="AG2" s="514"/>
      <c r="AH2" s="331"/>
      <c r="AI2" s="287"/>
      <c r="AJ2" s="484" t="s">
        <v>23</v>
      </c>
      <c r="AK2" s="516">
        <f>AD2+1</f>
        <v>45381</v>
      </c>
      <c r="AL2" s="516"/>
      <c r="AM2" s="516"/>
      <c r="AN2" s="517"/>
      <c r="AO2" s="139"/>
      <c r="AP2" s="208"/>
      <c r="AR2" s="442" t="s">
        <v>234</v>
      </c>
      <c r="AS2" s="60" t="s">
        <v>71</v>
      </c>
      <c r="AT2" s="60">
        <v>2</v>
      </c>
      <c r="AU2" s="60">
        <f>ROUND($AL$1*AT2/1000,1)</f>
        <v>0.1</v>
      </c>
      <c r="AV2" s="60" t="s">
        <v>2</v>
      </c>
    </row>
    <row r="3" spans="1:48" s="40" customFormat="1" ht="18.75" customHeight="1">
      <c r="A3" s="480"/>
      <c r="B3" s="41" t="s">
        <v>24</v>
      </c>
      <c r="C3" s="41" t="s">
        <v>25</v>
      </c>
      <c r="D3" s="42" t="s">
        <v>26</v>
      </c>
      <c r="E3" s="42" t="s">
        <v>27</v>
      </c>
      <c r="F3" s="43" t="s">
        <v>28</v>
      </c>
      <c r="G3" s="41" t="s">
        <v>29</v>
      </c>
      <c r="H3" s="359"/>
      <c r="I3" s="41" t="s">
        <v>24</v>
      </c>
      <c r="J3" s="41" t="s">
        <v>25</v>
      </c>
      <c r="K3" s="42" t="s">
        <v>26</v>
      </c>
      <c r="L3" s="42" t="s">
        <v>27</v>
      </c>
      <c r="M3" s="43" t="s">
        <v>28</v>
      </c>
      <c r="N3" s="44" t="s">
        <v>29</v>
      </c>
      <c r="O3" s="365"/>
      <c r="P3" s="41" t="s">
        <v>24</v>
      </c>
      <c r="Q3" s="41" t="s">
        <v>25</v>
      </c>
      <c r="R3" s="42" t="s">
        <v>26</v>
      </c>
      <c r="S3" s="42" t="s">
        <v>27</v>
      </c>
      <c r="T3" s="43" t="s">
        <v>28</v>
      </c>
      <c r="U3" s="44" t="s">
        <v>29</v>
      </c>
      <c r="V3" s="365"/>
      <c r="W3" s="41" t="s">
        <v>24</v>
      </c>
      <c r="X3" s="41" t="s">
        <v>25</v>
      </c>
      <c r="Y3" s="42" t="s">
        <v>26</v>
      </c>
      <c r="Z3" s="42" t="s">
        <v>27</v>
      </c>
      <c r="AA3" s="43" t="s">
        <v>28</v>
      </c>
      <c r="AB3" s="44" t="s">
        <v>29</v>
      </c>
      <c r="AC3" s="365"/>
      <c r="AD3" s="41" t="s">
        <v>24</v>
      </c>
      <c r="AE3" s="41" t="s">
        <v>25</v>
      </c>
      <c r="AF3" s="42" t="s">
        <v>26</v>
      </c>
      <c r="AG3" s="48" t="s">
        <v>27</v>
      </c>
      <c r="AH3" s="332" t="s">
        <v>28</v>
      </c>
      <c r="AI3" s="209" t="s">
        <v>29</v>
      </c>
      <c r="AJ3" s="365"/>
      <c r="AK3" s="41" t="s">
        <v>24</v>
      </c>
      <c r="AL3" s="41" t="s">
        <v>25</v>
      </c>
      <c r="AM3" s="42" t="s">
        <v>26</v>
      </c>
      <c r="AN3" s="225" t="s">
        <v>27</v>
      </c>
      <c r="AO3" s="216" t="s">
        <v>28</v>
      </c>
      <c r="AP3" s="209" t="s">
        <v>29</v>
      </c>
      <c r="AR3" s="443"/>
      <c r="AS3" s="60" t="s">
        <v>165</v>
      </c>
      <c r="AT3" s="60">
        <v>17</v>
      </c>
      <c r="AU3" s="60">
        <f>ROUND($AL$1*AT3/600,1)</f>
        <v>2.1</v>
      </c>
      <c r="AV3" s="60" t="s">
        <v>19</v>
      </c>
    </row>
    <row r="4" spans="1:48" s="50" customFormat="1" ht="18.75" customHeight="1" hidden="1">
      <c r="A4" s="480"/>
      <c r="B4" s="355" t="s">
        <v>30</v>
      </c>
      <c r="C4" s="355"/>
      <c r="D4" s="355"/>
      <c r="E4" s="355"/>
      <c r="F4" s="45"/>
      <c r="G4" s="46"/>
      <c r="H4" s="359"/>
      <c r="I4" s="355" t="s">
        <v>31</v>
      </c>
      <c r="J4" s="355"/>
      <c r="K4" s="355"/>
      <c r="L4" s="355"/>
      <c r="M4" s="45"/>
      <c r="N4" s="47"/>
      <c r="O4" s="365"/>
      <c r="P4" s="355" t="s">
        <v>32</v>
      </c>
      <c r="Q4" s="355"/>
      <c r="R4" s="355"/>
      <c r="S4" s="355"/>
      <c r="T4" s="43"/>
      <c r="U4" s="48"/>
      <c r="V4" s="365"/>
      <c r="W4" s="355" t="s">
        <v>33</v>
      </c>
      <c r="X4" s="355"/>
      <c r="Y4" s="355"/>
      <c r="Z4" s="355"/>
      <c r="AA4" s="45"/>
      <c r="AB4" s="47"/>
      <c r="AC4" s="365"/>
      <c r="AD4" s="351" t="s">
        <v>34</v>
      </c>
      <c r="AE4" s="351"/>
      <c r="AF4" s="351"/>
      <c r="AG4" s="515"/>
      <c r="AH4" s="333"/>
      <c r="AI4" s="183"/>
      <c r="AJ4" s="365"/>
      <c r="AK4" s="351" t="s">
        <v>34</v>
      </c>
      <c r="AL4" s="351"/>
      <c r="AM4" s="351"/>
      <c r="AN4" s="496"/>
      <c r="AO4" s="45"/>
      <c r="AP4" s="183"/>
      <c r="AR4" s="443"/>
      <c r="AS4" s="60" t="s">
        <v>235</v>
      </c>
      <c r="AT4" s="60">
        <v>14</v>
      </c>
      <c r="AU4" s="60">
        <f>ROUND($AL$1*AT4/1000,1)</f>
        <v>1</v>
      </c>
      <c r="AV4" s="60" t="s">
        <v>2</v>
      </c>
    </row>
    <row r="5" spans="1:48" s="50" customFormat="1" ht="18.75" customHeight="1">
      <c r="A5" s="494" t="s">
        <v>35</v>
      </c>
      <c r="B5" s="353"/>
      <c r="C5" s="353"/>
      <c r="D5" s="353"/>
      <c r="E5" s="353"/>
      <c r="F5" s="86"/>
      <c r="G5" s="87"/>
      <c r="H5" s="358" t="s">
        <v>35</v>
      </c>
      <c r="I5" s="353"/>
      <c r="J5" s="353"/>
      <c r="K5" s="353"/>
      <c r="L5" s="353"/>
      <c r="M5" s="86"/>
      <c r="N5" s="88"/>
      <c r="O5" s="352" t="s">
        <v>35</v>
      </c>
      <c r="P5" s="353"/>
      <c r="Q5" s="353"/>
      <c r="R5" s="353"/>
      <c r="S5" s="353"/>
      <c r="T5" s="86"/>
      <c r="U5" s="88"/>
      <c r="V5" s="352" t="s">
        <v>35</v>
      </c>
      <c r="W5" s="353"/>
      <c r="X5" s="353"/>
      <c r="Y5" s="353"/>
      <c r="Z5" s="353"/>
      <c r="AA5" s="86"/>
      <c r="AB5" s="88"/>
      <c r="AC5" s="352" t="s">
        <v>35</v>
      </c>
      <c r="AD5" s="353"/>
      <c r="AE5" s="353"/>
      <c r="AF5" s="353"/>
      <c r="AG5" s="518"/>
      <c r="AH5" s="333"/>
      <c r="AI5" s="183"/>
      <c r="AJ5" s="352" t="s">
        <v>35</v>
      </c>
      <c r="AK5" s="353"/>
      <c r="AL5" s="353"/>
      <c r="AM5" s="353"/>
      <c r="AN5" s="487"/>
      <c r="AO5" s="45"/>
      <c r="AP5" s="183"/>
      <c r="AR5" s="443"/>
      <c r="AS5" s="60" t="s">
        <v>37</v>
      </c>
      <c r="AT5" s="60">
        <v>20</v>
      </c>
      <c r="AU5" s="60">
        <f>ROUND($AL$1*AT5/1000,1)</f>
        <v>1.5</v>
      </c>
      <c r="AV5" s="60" t="s">
        <v>2</v>
      </c>
    </row>
    <row r="6" spans="1:48" s="50" customFormat="1" ht="18.75" customHeight="1">
      <c r="A6" s="510" t="s">
        <v>244</v>
      </c>
      <c r="B6" s="275" t="s">
        <v>243</v>
      </c>
      <c r="C6" s="275">
        <v>1</v>
      </c>
      <c r="D6" s="57">
        <f>ROUND($AL$1*C6,0)+2</f>
        <v>75</v>
      </c>
      <c r="E6" s="152" t="s">
        <v>51</v>
      </c>
      <c r="F6" s="193"/>
      <c r="G6" s="52">
        <f>D6*F6</f>
        <v>0</v>
      </c>
      <c r="H6" s="512" t="s">
        <v>200</v>
      </c>
      <c r="I6" s="145" t="s">
        <v>202</v>
      </c>
      <c r="J6" s="145">
        <v>34</v>
      </c>
      <c r="K6" s="23">
        <f>ROUND($AL$1*J6/1000,1)</f>
        <v>2.5</v>
      </c>
      <c r="L6" s="145" t="s">
        <v>2</v>
      </c>
      <c r="M6" s="193"/>
      <c r="N6" s="52">
        <f>K6*M6</f>
        <v>0</v>
      </c>
      <c r="O6" s="337" t="s">
        <v>238</v>
      </c>
      <c r="P6" s="23" t="s">
        <v>279</v>
      </c>
      <c r="Q6" s="24">
        <v>1</v>
      </c>
      <c r="R6" s="313">
        <f>ROUND($AL$1*Q6,0)+2</f>
        <v>75</v>
      </c>
      <c r="S6" s="25" t="s">
        <v>14</v>
      </c>
      <c r="T6" s="193"/>
      <c r="U6" s="175">
        <f>R6*T6</f>
        <v>0</v>
      </c>
      <c r="V6" s="337" t="s">
        <v>178</v>
      </c>
      <c r="W6" s="23" t="s">
        <v>162</v>
      </c>
      <c r="X6" s="23">
        <v>6</v>
      </c>
      <c r="Y6" s="75" t="s">
        <v>20</v>
      </c>
      <c r="Z6" s="74" t="s">
        <v>0</v>
      </c>
      <c r="AA6" s="193"/>
      <c r="AB6" s="175"/>
      <c r="AC6" s="337" t="s">
        <v>240</v>
      </c>
      <c r="AD6" s="23" t="s">
        <v>239</v>
      </c>
      <c r="AE6" s="185">
        <v>7</v>
      </c>
      <c r="AF6" s="23">
        <f>ROUND($AL$1*AE6/300,0)</f>
        <v>2</v>
      </c>
      <c r="AG6" s="97" t="s">
        <v>21</v>
      </c>
      <c r="AH6" s="193"/>
      <c r="AI6" s="175">
        <f>AF6*AH6</f>
        <v>0</v>
      </c>
      <c r="AJ6" s="337" t="s">
        <v>269</v>
      </c>
      <c r="AK6" s="23"/>
      <c r="AL6" s="185"/>
      <c r="AM6" s="23">
        <f>ROUND($AL$1*AL6/300,0)</f>
        <v>0</v>
      </c>
      <c r="AN6" s="233" t="s">
        <v>21</v>
      </c>
      <c r="AO6" s="54">
        <v>17</v>
      </c>
      <c r="AP6" s="175">
        <f aca="true" t="shared" si="0" ref="AP6:AP24">AM6*AO6</f>
        <v>0</v>
      </c>
      <c r="AR6" s="443"/>
      <c r="AS6" s="60" t="s">
        <v>115</v>
      </c>
      <c r="AT6" s="60">
        <v>28</v>
      </c>
      <c r="AU6" s="60">
        <f>ROUND($AL$1*AT6/1000,1)</f>
        <v>2</v>
      </c>
      <c r="AV6" s="60" t="s">
        <v>2</v>
      </c>
    </row>
    <row r="7" spans="1:48" s="50" customFormat="1" ht="18.75" customHeight="1">
      <c r="A7" s="511"/>
      <c r="B7" s="269" t="s">
        <v>196</v>
      </c>
      <c r="C7" s="276">
        <v>125</v>
      </c>
      <c r="D7" s="57">
        <f>ROUND($AL$1*C7/1000,0)</f>
        <v>9</v>
      </c>
      <c r="E7" s="276" t="s">
        <v>47</v>
      </c>
      <c r="F7" s="193"/>
      <c r="G7" s="52">
        <f>D7*F7</f>
        <v>0</v>
      </c>
      <c r="H7" s="513"/>
      <c r="I7" s="145" t="s">
        <v>197</v>
      </c>
      <c r="J7" s="145">
        <v>27</v>
      </c>
      <c r="K7" s="23">
        <f>ROUND($AL$1*J7/1000,1)</f>
        <v>2</v>
      </c>
      <c r="L7" s="145" t="s">
        <v>2</v>
      </c>
      <c r="M7" s="193"/>
      <c r="N7" s="52">
        <f aca="true" t="shared" si="1" ref="N7:N15">K7*M7</f>
        <v>0</v>
      </c>
      <c r="O7" s="338"/>
      <c r="P7" s="23"/>
      <c r="Q7" s="24"/>
      <c r="R7" s="26"/>
      <c r="S7" s="27"/>
      <c r="T7" s="193"/>
      <c r="U7" s="175">
        <f aca="true" t="shared" si="2" ref="U7:U24">R7*T7</f>
        <v>0</v>
      </c>
      <c r="V7" s="338"/>
      <c r="W7" s="23" t="s">
        <v>179</v>
      </c>
      <c r="X7" s="23">
        <v>10</v>
      </c>
      <c r="Y7" s="75" t="s">
        <v>20</v>
      </c>
      <c r="Z7" s="74" t="s">
        <v>0</v>
      </c>
      <c r="AA7" s="193"/>
      <c r="AB7" s="175"/>
      <c r="AC7" s="338"/>
      <c r="AD7" s="23" t="s">
        <v>77</v>
      </c>
      <c r="AE7" s="185">
        <v>7</v>
      </c>
      <c r="AF7" s="23">
        <f>ROUND($AL$1*AE7/1000,1)</f>
        <v>0.5</v>
      </c>
      <c r="AG7" s="97" t="s">
        <v>0</v>
      </c>
      <c r="AH7" s="193"/>
      <c r="AI7" s="175">
        <f>AF7*AH7</f>
        <v>0</v>
      </c>
      <c r="AJ7" s="338"/>
      <c r="AK7" s="23"/>
      <c r="AL7" s="185"/>
      <c r="AM7" s="23">
        <f>ROUND($AL$1*AL7/1000,1)</f>
        <v>0</v>
      </c>
      <c r="AN7" s="233" t="s">
        <v>0</v>
      </c>
      <c r="AO7" s="54">
        <v>80</v>
      </c>
      <c r="AP7" s="175">
        <f t="shared" si="0"/>
        <v>0</v>
      </c>
      <c r="AR7" s="443"/>
      <c r="AS7" s="56"/>
      <c r="AT7" s="56"/>
      <c r="AU7" s="92"/>
      <c r="AV7" s="97"/>
    </row>
    <row r="8" spans="1:48" s="50" customFormat="1" ht="18.75" customHeight="1">
      <c r="A8" s="511"/>
      <c r="B8" s="269"/>
      <c r="C8" s="276"/>
      <c r="D8" s="57"/>
      <c r="E8" s="276"/>
      <c r="F8" s="193"/>
      <c r="G8" s="52">
        <f>D8*F8</f>
        <v>0</v>
      </c>
      <c r="H8" s="513"/>
      <c r="I8" s="145" t="s">
        <v>71</v>
      </c>
      <c r="J8" s="145">
        <v>1.5</v>
      </c>
      <c r="K8" s="145" t="s">
        <v>199</v>
      </c>
      <c r="L8" s="145" t="s">
        <v>2</v>
      </c>
      <c r="M8" s="193"/>
      <c r="N8" s="52" t="e">
        <f t="shared" si="1"/>
        <v>#VALUE!</v>
      </c>
      <c r="O8" s="338"/>
      <c r="P8" s="23" t="s">
        <v>237</v>
      </c>
      <c r="Q8" s="24">
        <v>20</v>
      </c>
      <c r="R8" s="23">
        <f>ROUND($AL$1*Q8/1000,1)</f>
        <v>1.5</v>
      </c>
      <c r="S8" s="74" t="s">
        <v>0</v>
      </c>
      <c r="T8" s="193"/>
      <c r="U8" s="175">
        <f t="shared" si="2"/>
        <v>0</v>
      </c>
      <c r="V8" s="338"/>
      <c r="W8" s="23" t="s">
        <v>1</v>
      </c>
      <c r="X8" s="23">
        <v>28</v>
      </c>
      <c r="Y8" s="23">
        <f>ROUND($AL$1*X8/1000,1)</f>
        <v>2</v>
      </c>
      <c r="Z8" s="74" t="s">
        <v>0</v>
      </c>
      <c r="AA8" s="193"/>
      <c r="AB8" s="175">
        <f aca="true" t="shared" si="3" ref="AB8:AB13">Y8*AA8</f>
        <v>0</v>
      </c>
      <c r="AC8" s="338"/>
      <c r="AD8" s="23" t="s">
        <v>63</v>
      </c>
      <c r="AE8" s="185">
        <v>7</v>
      </c>
      <c r="AF8" s="23">
        <f>ROUND($AL$1*AE8/1000,1)</f>
        <v>0.5</v>
      </c>
      <c r="AG8" s="97" t="s">
        <v>0</v>
      </c>
      <c r="AH8" s="193"/>
      <c r="AI8" s="175">
        <f>AF8*AH8</f>
        <v>0</v>
      </c>
      <c r="AJ8" s="338"/>
      <c r="AK8" s="23"/>
      <c r="AL8" s="185"/>
      <c r="AM8" s="23">
        <f>ROUND($AL$1*AL8/1000,1)</f>
        <v>0</v>
      </c>
      <c r="AN8" s="233" t="s">
        <v>0</v>
      </c>
      <c r="AO8" s="54">
        <v>42</v>
      </c>
      <c r="AP8" s="175">
        <f t="shared" si="0"/>
        <v>0</v>
      </c>
      <c r="AR8" s="443"/>
      <c r="AS8" s="56"/>
      <c r="AT8" s="56"/>
      <c r="AU8" s="92"/>
      <c r="AV8" s="97"/>
    </row>
    <row r="9" spans="1:48" s="50" customFormat="1" ht="18.75" customHeight="1">
      <c r="A9" s="511"/>
      <c r="B9" s="277"/>
      <c r="C9" s="152"/>
      <c r="D9" s="152"/>
      <c r="E9" s="152"/>
      <c r="F9" s="193"/>
      <c r="G9" s="52"/>
      <c r="H9" s="513"/>
      <c r="I9" s="145" t="s">
        <v>198</v>
      </c>
      <c r="J9" s="145">
        <v>5</v>
      </c>
      <c r="K9" s="145" t="s">
        <v>199</v>
      </c>
      <c r="L9" s="145" t="s">
        <v>2</v>
      </c>
      <c r="M9" s="193"/>
      <c r="N9" s="52" t="e">
        <f t="shared" si="1"/>
        <v>#VALUE!</v>
      </c>
      <c r="O9" s="338"/>
      <c r="P9" s="23" t="s">
        <v>36</v>
      </c>
      <c r="Q9" s="23">
        <v>7</v>
      </c>
      <c r="R9" s="23">
        <f>ROUND($AL$1*Q9/1000,1)</f>
        <v>0.5</v>
      </c>
      <c r="S9" s="74" t="s">
        <v>0</v>
      </c>
      <c r="T9" s="193"/>
      <c r="U9" s="175">
        <f t="shared" si="2"/>
        <v>0</v>
      </c>
      <c r="V9" s="338"/>
      <c r="W9" s="23" t="s">
        <v>63</v>
      </c>
      <c r="X9" s="23">
        <v>6</v>
      </c>
      <c r="Y9" s="23">
        <f>ROUND($AL$1*X9/1000,1)</f>
        <v>0.4</v>
      </c>
      <c r="Z9" s="74" t="s">
        <v>0</v>
      </c>
      <c r="AA9" s="193"/>
      <c r="AB9" s="175">
        <f t="shared" si="3"/>
        <v>0</v>
      </c>
      <c r="AC9" s="338"/>
      <c r="AD9" s="23" t="s">
        <v>209</v>
      </c>
      <c r="AE9" s="185">
        <v>7</v>
      </c>
      <c r="AF9" s="23">
        <f>ROUND($AL$1*AE9/1000,1)</f>
        <v>0.5</v>
      </c>
      <c r="AG9" s="97" t="s">
        <v>0</v>
      </c>
      <c r="AH9" s="193"/>
      <c r="AI9" s="175">
        <f>AF9*AH9</f>
        <v>0</v>
      </c>
      <c r="AJ9" s="338"/>
      <c r="AK9" s="23"/>
      <c r="AL9" s="185"/>
      <c r="AM9" s="23">
        <f>ROUND($AL$1*AL9/1000,1)</f>
        <v>0</v>
      </c>
      <c r="AN9" s="233" t="s">
        <v>0</v>
      </c>
      <c r="AO9" s="54">
        <v>215</v>
      </c>
      <c r="AP9" s="175">
        <f t="shared" si="0"/>
        <v>0</v>
      </c>
      <c r="AR9" s="443"/>
      <c r="AS9" s="254"/>
      <c r="AT9" s="254"/>
      <c r="AU9" s="255"/>
      <c r="AV9" s="256"/>
    </row>
    <row r="10" spans="1:42" s="50" customFormat="1" ht="18.75" customHeight="1">
      <c r="A10" s="511"/>
      <c r="B10" s="278"/>
      <c r="C10" s="279"/>
      <c r="D10" s="152"/>
      <c r="E10" s="152"/>
      <c r="F10" s="193"/>
      <c r="G10" s="52"/>
      <c r="H10" s="513"/>
      <c r="I10" s="145" t="s">
        <v>78</v>
      </c>
      <c r="J10" s="145">
        <v>0.5</v>
      </c>
      <c r="K10" s="145" t="s">
        <v>199</v>
      </c>
      <c r="L10" s="145"/>
      <c r="M10" s="193"/>
      <c r="N10" s="52"/>
      <c r="O10" s="338"/>
      <c r="P10" s="23" t="s">
        <v>1</v>
      </c>
      <c r="Q10" s="23">
        <v>34</v>
      </c>
      <c r="R10" s="23">
        <f>ROUND($AL$1*Q10/1000,1)</f>
        <v>2.5</v>
      </c>
      <c r="S10" s="74" t="s">
        <v>0</v>
      </c>
      <c r="T10" s="193"/>
      <c r="U10" s="175">
        <f t="shared" si="2"/>
        <v>0</v>
      </c>
      <c r="V10" s="338"/>
      <c r="W10" s="23" t="s">
        <v>193</v>
      </c>
      <c r="X10" s="23">
        <v>0.33</v>
      </c>
      <c r="Y10" s="23">
        <f>ROUND($AL$1*X10/12,1)</f>
        <v>2</v>
      </c>
      <c r="Z10" s="74" t="s">
        <v>19</v>
      </c>
      <c r="AA10" s="193"/>
      <c r="AB10" s="175">
        <f t="shared" si="3"/>
        <v>0</v>
      </c>
      <c r="AC10" s="338"/>
      <c r="AD10" s="23" t="s">
        <v>241</v>
      </c>
      <c r="AE10" s="185">
        <v>32</v>
      </c>
      <c r="AF10" s="23" t="s">
        <v>20</v>
      </c>
      <c r="AG10" s="97" t="s">
        <v>0</v>
      </c>
      <c r="AH10" s="193"/>
      <c r="AI10" s="175"/>
      <c r="AJ10" s="338"/>
      <c r="AK10" s="23"/>
      <c r="AL10" s="185"/>
      <c r="AM10" s="23" t="s">
        <v>20</v>
      </c>
      <c r="AN10" s="233" t="s">
        <v>0</v>
      </c>
      <c r="AO10" s="54"/>
      <c r="AP10" s="175"/>
    </row>
    <row r="11" spans="1:42" s="50" customFormat="1" ht="18.75" customHeight="1">
      <c r="A11" s="511"/>
      <c r="B11" s="277"/>
      <c r="C11" s="152"/>
      <c r="D11" s="152"/>
      <c r="E11" s="152"/>
      <c r="F11" s="193"/>
      <c r="G11" s="52"/>
      <c r="H11" s="513"/>
      <c r="I11" s="289" t="s">
        <v>201</v>
      </c>
      <c r="J11" s="289">
        <v>69</v>
      </c>
      <c r="K11" s="211">
        <f>ROUND($AL$1*J11/1000,1)</f>
        <v>5</v>
      </c>
      <c r="L11" s="212" t="s">
        <v>0</v>
      </c>
      <c r="M11" s="193"/>
      <c r="N11" s="290">
        <f t="shared" si="1"/>
        <v>0</v>
      </c>
      <c r="O11" s="338"/>
      <c r="P11" s="23"/>
      <c r="Q11" s="23"/>
      <c r="R11" s="23"/>
      <c r="S11" s="74"/>
      <c r="T11" s="193"/>
      <c r="U11" s="175">
        <f t="shared" si="2"/>
        <v>0</v>
      </c>
      <c r="V11" s="338"/>
      <c r="W11" s="23" t="s">
        <v>70</v>
      </c>
      <c r="X11" s="23">
        <v>6</v>
      </c>
      <c r="Y11" s="23">
        <f>ROUND($AL$1*X11/1000,1)</f>
        <v>0.4</v>
      </c>
      <c r="Z11" s="74" t="s">
        <v>0</v>
      </c>
      <c r="AA11" s="193"/>
      <c r="AB11" s="175">
        <f t="shared" si="3"/>
        <v>0</v>
      </c>
      <c r="AC11" s="338"/>
      <c r="AD11" s="23" t="s">
        <v>93</v>
      </c>
      <c r="AE11" s="185">
        <v>20</v>
      </c>
      <c r="AF11" s="23">
        <f>ROUND($AL$1*AE11/1000,1)</f>
        <v>1.5</v>
      </c>
      <c r="AG11" s="97" t="s">
        <v>0</v>
      </c>
      <c r="AH11" s="193"/>
      <c r="AI11" s="175">
        <f>AF11*AH11</f>
        <v>0</v>
      </c>
      <c r="AJ11" s="338"/>
      <c r="AK11" s="23"/>
      <c r="AL11" s="273"/>
      <c r="AM11" s="23">
        <f>ROUND($AL$1*AL11/1000,1)</f>
        <v>0</v>
      </c>
      <c r="AN11" s="233" t="s">
        <v>0</v>
      </c>
      <c r="AO11" s="54">
        <v>25</v>
      </c>
      <c r="AP11" s="175">
        <f t="shared" si="0"/>
        <v>0</v>
      </c>
    </row>
    <row r="12" spans="1:42" s="40" customFormat="1" ht="18.75" customHeight="1">
      <c r="A12" s="511"/>
      <c r="B12" s="278"/>
      <c r="C12" s="152"/>
      <c r="D12" s="280"/>
      <c r="E12" s="152"/>
      <c r="F12" s="193"/>
      <c r="G12" s="52"/>
      <c r="H12" s="513"/>
      <c r="I12" s="145" t="s">
        <v>1</v>
      </c>
      <c r="J12" s="145">
        <v>27</v>
      </c>
      <c r="K12" s="23">
        <f>ROUND($AL$1*J12/1000,1)</f>
        <v>2</v>
      </c>
      <c r="L12" s="75" t="s">
        <v>0</v>
      </c>
      <c r="M12" s="193"/>
      <c r="N12" s="52">
        <f t="shared" si="1"/>
        <v>0</v>
      </c>
      <c r="O12" s="338"/>
      <c r="P12" s="28"/>
      <c r="Q12" s="29"/>
      <c r="R12" s="75"/>
      <c r="S12" s="74"/>
      <c r="T12" s="193"/>
      <c r="U12" s="175">
        <f t="shared" si="2"/>
        <v>0</v>
      </c>
      <c r="V12" s="338"/>
      <c r="W12" s="23" t="s">
        <v>78</v>
      </c>
      <c r="X12" s="23">
        <v>0.5</v>
      </c>
      <c r="Y12" s="75" t="s">
        <v>20</v>
      </c>
      <c r="Z12" s="74" t="s">
        <v>0</v>
      </c>
      <c r="AA12" s="193"/>
      <c r="AB12" s="175"/>
      <c r="AC12" s="338"/>
      <c r="AD12" s="23" t="s">
        <v>151</v>
      </c>
      <c r="AE12" s="23">
        <v>5.4</v>
      </c>
      <c r="AF12" s="23">
        <f>ROUND($AL$1*AE12/200,1)</f>
        <v>2</v>
      </c>
      <c r="AG12" s="97" t="s">
        <v>19</v>
      </c>
      <c r="AH12" s="193"/>
      <c r="AI12" s="175">
        <f>AF12*AH12</f>
        <v>0</v>
      </c>
      <c r="AJ12" s="338"/>
      <c r="AK12" s="23"/>
      <c r="AL12" s="185"/>
      <c r="AM12" s="23">
        <f>ROUND($AL$1*AL12/1000,1)</f>
        <v>0</v>
      </c>
      <c r="AN12" s="233" t="s">
        <v>0</v>
      </c>
      <c r="AO12" s="54">
        <v>45</v>
      </c>
      <c r="AP12" s="175">
        <f t="shared" si="0"/>
        <v>0</v>
      </c>
    </row>
    <row r="13" spans="1:42" s="50" customFormat="1" ht="18.75" customHeight="1">
      <c r="A13" s="511"/>
      <c r="B13" s="277"/>
      <c r="C13" s="152"/>
      <c r="D13" s="152"/>
      <c r="E13" s="152"/>
      <c r="F13" s="193"/>
      <c r="G13" s="52"/>
      <c r="H13" s="513"/>
      <c r="I13" s="145"/>
      <c r="J13" s="145"/>
      <c r="K13" s="145"/>
      <c r="L13" s="145"/>
      <c r="M13" s="193"/>
      <c r="N13" s="52">
        <f t="shared" si="1"/>
        <v>0</v>
      </c>
      <c r="O13" s="338"/>
      <c r="P13" s="30"/>
      <c r="Q13" s="30"/>
      <c r="R13" s="26"/>
      <c r="S13" s="27"/>
      <c r="T13" s="193"/>
      <c r="U13" s="175">
        <f t="shared" si="2"/>
        <v>0</v>
      </c>
      <c r="V13" s="338"/>
      <c r="W13" s="23"/>
      <c r="X13" s="23"/>
      <c r="Y13" s="75"/>
      <c r="Z13" s="74"/>
      <c r="AA13" s="193"/>
      <c r="AB13" s="175">
        <f t="shared" si="3"/>
        <v>0</v>
      </c>
      <c r="AC13" s="338"/>
      <c r="AD13" s="23"/>
      <c r="AE13" s="23"/>
      <c r="AF13" s="23"/>
      <c r="AG13" s="97"/>
      <c r="AH13" s="193"/>
      <c r="AI13" s="175"/>
      <c r="AJ13" s="338"/>
      <c r="AK13" s="23"/>
      <c r="AL13" s="23"/>
      <c r="AM13" s="23">
        <f>ROUND($AL$1*AL13/200,1)</f>
        <v>0</v>
      </c>
      <c r="AN13" s="233" t="s">
        <v>19</v>
      </c>
      <c r="AO13" s="54">
        <v>2</v>
      </c>
      <c r="AP13" s="175">
        <f t="shared" si="0"/>
        <v>0</v>
      </c>
    </row>
    <row r="14" spans="1:42" s="50" customFormat="1" ht="18.75" customHeight="1">
      <c r="A14" s="511"/>
      <c r="B14" s="277"/>
      <c r="C14" s="152"/>
      <c r="D14" s="152"/>
      <c r="E14" s="152"/>
      <c r="F14" s="193"/>
      <c r="G14" s="52"/>
      <c r="H14" s="513"/>
      <c r="I14" s="145"/>
      <c r="J14" s="145"/>
      <c r="K14" s="145"/>
      <c r="L14" s="145"/>
      <c r="M14" s="193"/>
      <c r="N14" s="52">
        <f t="shared" si="1"/>
        <v>0</v>
      </c>
      <c r="O14" s="338"/>
      <c r="P14" s="30"/>
      <c r="Q14" s="30"/>
      <c r="R14" s="26"/>
      <c r="S14" s="27"/>
      <c r="T14" s="193"/>
      <c r="U14" s="175">
        <f t="shared" si="2"/>
        <v>0</v>
      </c>
      <c r="V14" s="338"/>
      <c r="W14" s="80"/>
      <c r="X14" s="53"/>
      <c r="Y14" s="75"/>
      <c r="Z14" s="74"/>
      <c r="AA14" s="193"/>
      <c r="AB14" s="175"/>
      <c r="AC14" s="338"/>
      <c r="AD14" s="23"/>
      <c r="AE14" s="273"/>
      <c r="AF14" s="23"/>
      <c r="AG14" s="97"/>
      <c r="AH14" s="193"/>
      <c r="AI14" s="175"/>
      <c r="AJ14" s="338"/>
      <c r="AK14" s="23"/>
      <c r="AL14" s="273"/>
      <c r="AM14" s="23">
        <f>ROUND($AL$1*AL14/1000,1)</f>
        <v>0</v>
      </c>
      <c r="AN14" s="233" t="s">
        <v>0</v>
      </c>
      <c r="AO14" s="54"/>
      <c r="AP14" s="175">
        <f t="shared" si="0"/>
        <v>0</v>
      </c>
    </row>
    <row r="15" spans="1:42" s="50" customFormat="1" ht="18.75" customHeight="1">
      <c r="A15" s="511"/>
      <c r="B15" s="277"/>
      <c r="C15" s="152"/>
      <c r="D15" s="152"/>
      <c r="E15" s="152"/>
      <c r="F15" s="193"/>
      <c r="G15" s="52"/>
      <c r="H15" s="513"/>
      <c r="I15" s="145"/>
      <c r="J15" s="145"/>
      <c r="K15" s="145"/>
      <c r="L15" s="145"/>
      <c r="M15" s="193"/>
      <c r="N15" s="52">
        <f t="shared" si="1"/>
        <v>0</v>
      </c>
      <c r="O15" s="338"/>
      <c r="P15" s="30"/>
      <c r="Q15" s="30"/>
      <c r="R15" s="26"/>
      <c r="S15" s="27"/>
      <c r="T15" s="193"/>
      <c r="U15" s="175">
        <f t="shared" si="2"/>
        <v>0</v>
      </c>
      <c r="V15" s="338"/>
      <c r="W15" s="62"/>
      <c r="X15" s="62"/>
      <c r="Y15" s="75"/>
      <c r="Z15" s="25"/>
      <c r="AA15" s="193"/>
      <c r="AB15" s="175"/>
      <c r="AC15" s="338"/>
      <c r="AD15" s="62"/>
      <c r="AE15" s="62"/>
      <c r="AF15" s="75"/>
      <c r="AG15" s="160"/>
      <c r="AH15" s="193"/>
      <c r="AI15" s="175">
        <f>AF15*AH15</f>
        <v>0</v>
      </c>
      <c r="AJ15" s="338"/>
      <c r="AK15" s="62"/>
      <c r="AL15" s="62"/>
      <c r="AM15" s="75"/>
      <c r="AN15" s="329"/>
      <c r="AO15" s="54"/>
      <c r="AP15" s="175">
        <f t="shared" si="0"/>
        <v>0</v>
      </c>
    </row>
    <row r="16" spans="1:42" s="50" customFormat="1" ht="18.75" customHeight="1">
      <c r="A16" s="505" t="s">
        <v>10</v>
      </c>
      <c r="B16" s="506"/>
      <c r="C16" s="506"/>
      <c r="D16" s="506"/>
      <c r="E16" s="507"/>
      <c r="F16" s="274"/>
      <c r="G16" s="88"/>
      <c r="H16" s="339" t="s">
        <v>38</v>
      </c>
      <c r="I16" s="339"/>
      <c r="J16" s="339"/>
      <c r="K16" s="339"/>
      <c r="L16" s="339"/>
      <c r="M16" s="274"/>
      <c r="N16" s="88"/>
      <c r="O16" s="339" t="s">
        <v>38</v>
      </c>
      <c r="P16" s="339"/>
      <c r="Q16" s="339"/>
      <c r="R16" s="339"/>
      <c r="S16" s="339"/>
      <c r="T16" s="274"/>
      <c r="U16" s="88"/>
      <c r="V16" s="339" t="s">
        <v>38</v>
      </c>
      <c r="W16" s="339"/>
      <c r="X16" s="339"/>
      <c r="Y16" s="339"/>
      <c r="Z16" s="339"/>
      <c r="AA16" s="274"/>
      <c r="AB16" s="88"/>
      <c r="AC16" s="339"/>
      <c r="AD16" s="339"/>
      <c r="AE16" s="339"/>
      <c r="AF16" s="339"/>
      <c r="AG16" s="405"/>
      <c r="AH16" s="274"/>
      <c r="AI16" s="210"/>
      <c r="AJ16" s="339"/>
      <c r="AK16" s="339"/>
      <c r="AL16" s="339"/>
      <c r="AM16" s="339"/>
      <c r="AN16" s="497"/>
      <c r="AO16" s="86"/>
      <c r="AP16" s="210"/>
    </row>
    <row r="17" spans="1:42" s="50" customFormat="1" ht="18.75" customHeight="1">
      <c r="A17" s="508" t="s">
        <v>267</v>
      </c>
      <c r="B17" s="29" t="s">
        <v>268</v>
      </c>
      <c r="C17" s="29">
        <v>2</v>
      </c>
      <c r="D17" s="29" t="s">
        <v>20</v>
      </c>
      <c r="E17" s="29" t="s">
        <v>2</v>
      </c>
      <c r="F17" s="193"/>
      <c r="G17" s="52" t="e">
        <f aca="true" t="shared" si="4" ref="G17:G24">D17*F17</f>
        <v>#VALUE!</v>
      </c>
      <c r="H17" s="466" t="s">
        <v>205</v>
      </c>
      <c r="I17" s="23" t="s">
        <v>206</v>
      </c>
      <c r="J17" s="23">
        <v>10</v>
      </c>
      <c r="K17" s="75" t="s">
        <v>20</v>
      </c>
      <c r="L17" s="75" t="s">
        <v>0</v>
      </c>
      <c r="M17" s="193"/>
      <c r="N17" s="52"/>
      <c r="O17" s="337" t="s">
        <v>41</v>
      </c>
      <c r="P17" s="29" t="s">
        <v>58</v>
      </c>
      <c r="Q17" s="78">
        <v>41</v>
      </c>
      <c r="R17" s="23">
        <f>ROUND($AL$1*Q17/1000,1)</f>
        <v>3</v>
      </c>
      <c r="S17" s="99" t="s">
        <v>0</v>
      </c>
      <c r="T17" s="193"/>
      <c r="U17" s="175">
        <f t="shared" si="2"/>
        <v>0</v>
      </c>
      <c r="V17" s="425" t="s">
        <v>176</v>
      </c>
      <c r="W17" s="60" t="s">
        <v>59</v>
      </c>
      <c r="X17" s="60">
        <v>8.2</v>
      </c>
      <c r="Y17" s="23">
        <f>ROUND($AL$1*X17/300,1)</f>
        <v>2</v>
      </c>
      <c r="Z17" s="252" t="s">
        <v>18</v>
      </c>
      <c r="AA17" s="193"/>
      <c r="AB17" s="175">
        <f>Y17*AA17</f>
        <v>0</v>
      </c>
      <c r="AC17" s="442" t="s">
        <v>195</v>
      </c>
      <c r="AD17" s="78" t="s">
        <v>17</v>
      </c>
      <c r="AE17" s="78">
        <v>41</v>
      </c>
      <c r="AF17" s="23">
        <f>ROUND($AL$1*AE17/1000,1)</f>
        <v>3</v>
      </c>
      <c r="AG17" s="97" t="s">
        <v>0</v>
      </c>
      <c r="AH17" s="193"/>
      <c r="AI17" s="175">
        <f>AF17*AH17</f>
        <v>0</v>
      </c>
      <c r="AJ17" s="442" t="s">
        <v>269</v>
      </c>
      <c r="AK17" s="78"/>
      <c r="AL17" s="78"/>
      <c r="AM17" s="23">
        <f>ROUND($AL$1*AL17/1000,1)</f>
        <v>0</v>
      </c>
      <c r="AN17" s="233" t="s">
        <v>0</v>
      </c>
      <c r="AO17" s="54"/>
      <c r="AP17" s="175">
        <f t="shared" si="0"/>
        <v>0</v>
      </c>
    </row>
    <row r="18" spans="1:42" s="50" customFormat="1" ht="18.75" customHeight="1">
      <c r="A18" s="509"/>
      <c r="B18" s="29" t="s">
        <v>165</v>
      </c>
      <c r="C18" s="29">
        <v>16.5</v>
      </c>
      <c r="D18" s="29">
        <f>ROUND($AL$1*C18/600,1)</f>
        <v>2</v>
      </c>
      <c r="E18" s="29" t="s">
        <v>19</v>
      </c>
      <c r="F18" s="193"/>
      <c r="G18" s="52">
        <f t="shared" si="4"/>
        <v>0</v>
      </c>
      <c r="H18" s="466"/>
      <c r="I18" s="23" t="s">
        <v>207</v>
      </c>
      <c r="J18" s="23">
        <v>10</v>
      </c>
      <c r="K18" s="75" t="s">
        <v>20</v>
      </c>
      <c r="L18" s="75" t="s">
        <v>0</v>
      </c>
      <c r="M18" s="193"/>
      <c r="N18" s="52"/>
      <c r="O18" s="338"/>
      <c r="P18" s="29"/>
      <c r="Q18" s="29"/>
      <c r="R18" s="23"/>
      <c r="S18" s="74"/>
      <c r="T18" s="193"/>
      <c r="U18" s="175">
        <f t="shared" si="2"/>
        <v>0</v>
      </c>
      <c r="V18" s="425"/>
      <c r="W18" s="60" t="s">
        <v>99</v>
      </c>
      <c r="X18" s="60">
        <v>17</v>
      </c>
      <c r="Y18" s="23">
        <f>ROUND($AL$1*X18/1000,1)</f>
        <v>1.2</v>
      </c>
      <c r="Z18" s="253" t="s">
        <v>2</v>
      </c>
      <c r="AA18" s="193"/>
      <c r="AB18" s="175">
        <f>Y18*AA18</f>
        <v>0</v>
      </c>
      <c r="AC18" s="443"/>
      <c r="AD18" s="78"/>
      <c r="AE18" s="78"/>
      <c r="AF18" s="23"/>
      <c r="AG18" s="97"/>
      <c r="AH18" s="193"/>
      <c r="AI18" s="175">
        <f>AF18*AH18</f>
        <v>0</v>
      </c>
      <c r="AJ18" s="443"/>
      <c r="AK18" s="78"/>
      <c r="AL18" s="78"/>
      <c r="AM18" s="23">
        <f>ROUND($AL$1*AL18/1000,1)</f>
        <v>0</v>
      </c>
      <c r="AN18" s="233" t="s">
        <v>0</v>
      </c>
      <c r="AO18" s="54"/>
      <c r="AP18" s="175">
        <f t="shared" si="0"/>
        <v>0</v>
      </c>
    </row>
    <row r="19" spans="1:42" s="50" customFormat="1" ht="18.75" customHeight="1">
      <c r="A19" s="509"/>
      <c r="B19" s="29" t="s">
        <v>274</v>
      </c>
      <c r="C19" s="29">
        <v>13</v>
      </c>
      <c r="D19" s="29" t="s">
        <v>20</v>
      </c>
      <c r="E19" s="29" t="s">
        <v>2</v>
      </c>
      <c r="F19" s="193"/>
      <c r="G19" s="52" t="e">
        <f t="shared" si="4"/>
        <v>#VALUE!</v>
      </c>
      <c r="H19" s="466"/>
      <c r="I19" s="23" t="s">
        <v>49</v>
      </c>
      <c r="J19" s="23">
        <v>40</v>
      </c>
      <c r="K19" s="75" t="s">
        <v>20</v>
      </c>
      <c r="L19" s="75" t="s">
        <v>0</v>
      </c>
      <c r="M19" s="193"/>
      <c r="N19" s="52"/>
      <c r="O19" s="338"/>
      <c r="P19" s="28" t="s">
        <v>17</v>
      </c>
      <c r="Q19" s="78">
        <v>41</v>
      </c>
      <c r="R19" s="23">
        <f>ROUND($AL$1*Q19/1000,1)</f>
        <v>3</v>
      </c>
      <c r="S19" s="74" t="s">
        <v>0</v>
      </c>
      <c r="T19" s="193"/>
      <c r="U19" s="175">
        <f t="shared" si="2"/>
        <v>0</v>
      </c>
      <c r="V19" s="425"/>
      <c r="W19" s="60" t="s">
        <v>22</v>
      </c>
      <c r="X19" s="60">
        <v>8</v>
      </c>
      <c r="Y19" s="23">
        <f>ROUND($AL$1*X19/1000,1)</f>
        <v>0.6</v>
      </c>
      <c r="Z19" s="253" t="s">
        <v>2</v>
      </c>
      <c r="AA19" s="193"/>
      <c r="AB19" s="175">
        <f>Y19*AA19</f>
        <v>0</v>
      </c>
      <c r="AC19" s="443"/>
      <c r="AD19" s="78" t="s">
        <v>42</v>
      </c>
      <c r="AE19" s="78">
        <v>41</v>
      </c>
      <c r="AF19" s="23">
        <f>ROUND($AL$1*AE19/1000,1)</f>
        <v>3</v>
      </c>
      <c r="AG19" s="97" t="s">
        <v>0</v>
      </c>
      <c r="AH19" s="193"/>
      <c r="AI19" s="175">
        <f>AF19*AH19</f>
        <v>0</v>
      </c>
      <c r="AJ19" s="443"/>
      <c r="AK19" s="78"/>
      <c r="AL19" s="78"/>
      <c r="AM19" s="23">
        <f>ROUND($AL$1*AL19/1000,1)</f>
        <v>0</v>
      </c>
      <c r="AN19" s="233" t="s">
        <v>0</v>
      </c>
      <c r="AO19" s="54"/>
      <c r="AP19" s="175">
        <f t="shared" si="0"/>
        <v>0</v>
      </c>
    </row>
    <row r="20" spans="1:42" s="50" customFormat="1" ht="18.75" customHeight="1">
      <c r="A20" s="509"/>
      <c r="B20" s="29" t="s">
        <v>37</v>
      </c>
      <c r="C20" s="29">
        <v>20</v>
      </c>
      <c r="D20" s="29">
        <f>ROUND($AL$1*C20/1000,1)</f>
        <v>1.5</v>
      </c>
      <c r="E20" s="29" t="s">
        <v>2</v>
      </c>
      <c r="F20" s="193"/>
      <c r="G20" s="52">
        <f t="shared" si="4"/>
        <v>0</v>
      </c>
      <c r="H20" s="466"/>
      <c r="I20" s="230" t="s">
        <v>196</v>
      </c>
      <c r="J20" s="78">
        <v>82</v>
      </c>
      <c r="K20" s="23">
        <f>ROUND($AL$1*J20/1000,1)</f>
        <v>6</v>
      </c>
      <c r="L20" s="146" t="s">
        <v>47</v>
      </c>
      <c r="M20" s="193"/>
      <c r="N20" s="52">
        <f>K20*M20</f>
        <v>0</v>
      </c>
      <c r="O20" s="338"/>
      <c r="P20" s="23"/>
      <c r="Q20" s="23"/>
      <c r="R20" s="92"/>
      <c r="S20" s="97"/>
      <c r="T20" s="193"/>
      <c r="U20" s="175">
        <f t="shared" si="2"/>
        <v>0</v>
      </c>
      <c r="V20" s="425"/>
      <c r="W20" s="60" t="s">
        <v>187</v>
      </c>
      <c r="X20" s="60">
        <v>0.14</v>
      </c>
      <c r="Y20" s="23">
        <f>ROUND($AL$1*X20/10,1)</f>
        <v>1</v>
      </c>
      <c r="Z20" s="253" t="s">
        <v>21</v>
      </c>
      <c r="AA20" s="193"/>
      <c r="AB20" s="175">
        <f>Y20*AA20</f>
        <v>0</v>
      </c>
      <c r="AC20" s="443"/>
      <c r="AD20" s="56"/>
      <c r="AE20" s="56"/>
      <c r="AF20" s="92"/>
      <c r="AG20" s="97"/>
      <c r="AH20" s="193"/>
      <c r="AI20" s="175">
        <f>AF20*AH20</f>
        <v>0</v>
      </c>
      <c r="AJ20" s="443"/>
      <c r="AK20" s="56"/>
      <c r="AL20" s="56"/>
      <c r="AM20" s="92"/>
      <c r="AN20" s="233"/>
      <c r="AO20" s="54"/>
      <c r="AP20" s="175">
        <f t="shared" si="0"/>
        <v>0</v>
      </c>
    </row>
    <row r="21" spans="1:42" s="50" customFormat="1" ht="18.75" customHeight="1">
      <c r="A21" s="509"/>
      <c r="B21" s="29" t="s">
        <v>1</v>
      </c>
      <c r="C21" s="29">
        <v>24</v>
      </c>
      <c r="D21" s="29">
        <f>ROUND($AL$1*C21/1000,1)</f>
        <v>1.8</v>
      </c>
      <c r="E21" s="29" t="s">
        <v>2</v>
      </c>
      <c r="F21" s="193"/>
      <c r="G21" s="52">
        <f t="shared" si="4"/>
        <v>0</v>
      </c>
      <c r="H21" s="466"/>
      <c r="I21" s="23"/>
      <c r="J21" s="23"/>
      <c r="K21" s="75"/>
      <c r="L21" s="75"/>
      <c r="M21" s="193"/>
      <c r="N21" s="52">
        <f>K21*M21</f>
        <v>0</v>
      </c>
      <c r="O21" s="338"/>
      <c r="P21" s="266" t="s">
        <v>196</v>
      </c>
      <c r="Q21" s="267">
        <v>128</v>
      </c>
      <c r="R21" s="268" t="s">
        <v>20</v>
      </c>
      <c r="S21" s="146" t="s">
        <v>47</v>
      </c>
      <c r="T21" s="193"/>
      <c r="U21" s="175"/>
      <c r="V21" s="425"/>
      <c r="W21" s="60" t="s">
        <v>177</v>
      </c>
      <c r="X21" s="60">
        <v>6</v>
      </c>
      <c r="Y21" s="75" t="s">
        <v>20</v>
      </c>
      <c r="Z21" s="253" t="s">
        <v>2</v>
      </c>
      <c r="AA21" s="193"/>
      <c r="AB21" s="175"/>
      <c r="AC21" s="443"/>
      <c r="AD21" s="266" t="s">
        <v>196</v>
      </c>
      <c r="AE21" s="267">
        <v>128</v>
      </c>
      <c r="AF21" s="268" t="s">
        <v>20</v>
      </c>
      <c r="AG21" s="146" t="s">
        <v>47</v>
      </c>
      <c r="AH21" s="193"/>
      <c r="AI21" s="175"/>
      <c r="AJ21" s="443"/>
      <c r="AK21" s="266"/>
      <c r="AL21" s="267"/>
      <c r="AM21" s="268" t="s">
        <v>20</v>
      </c>
      <c r="AN21" s="288" t="s">
        <v>47</v>
      </c>
      <c r="AO21" s="54"/>
      <c r="AP21" s="175"/>
    </row>
    <row r="22" spans="1:42" s="50" customFormat="1" ht="18.75" customHeight="1">
      <c r="A22" s="509"/>
      <c r="B22" s="23" t="s">
        <v>63</v>
      </c>
      <c r="C22" s="23">
        <v>6</v>
      </c>
      <c r="D22" s="23">
        <f>ROUND($AL$1*C22/1000,1)</f>
        <v>0.4</v>
      </c>
      <c r="E22" s="74" t="s">
        <v>0</v>
      </c>
      <c r="F22" s="193"/>
      <c r="G22" s="52">
        <f t="shared" si="4"/>
        <v>0</v>
      </c>
      <c r="H22" s="466"/>
      <c r="I22" s="23"/>
      <c r="J22" s="23"/>
      <c r="K22" s="240"/>
      <c r="L22" s="240"/>
      <c r="M22" s="193"/>
      <c r="N22" s="52">
        <f>K22*M22</f>
        <v>0</v>
      </c>
      <c r="O22" s="338"/>
      <c r="P22" s="269" t="s">
        <v>219</v>
      </c>
      <c r="Q22" s="156"/>
      <c r="R22" s="92"/>
      <c r="S22" s="97"/>
      <c r="T22" s="193"/>
      <c r="U22" s="175">
        <f t="shared" si="2"/>
        <v>0</v>
      </c>
      <c r="V22" s="425"/>
      <c r="W22" s="266" t="s">
        <v>196</v>
      </c>
      <c r="X22" s="267">
        <v>30</v>
      </c>
      <c r="Y22" s="268" t="s">
        <v>20</v>
      </c>
      <c r="Z22" s="146" t="s">
        <v>47</v>
      </c>
      <c r="AA22" s="193"/>
      <c r="AB22" s="175"/>
      <c r="AC22" s="443"/>
      <c r="AD22" s="269" t="s">
        <v>219</v>
      </c>
      <c r="AE22" s="156"/>
      <c r="AF22" s="92"/>
      <c r="AG22" s="97"/>
      <c r="AH22" s="193"/>
      <c r="AI22" s="175"/>
      <c r="AJ22" s="443"/>
      <c r="AK22" s="269"/>
      <c r="AL22" s="156"/>
      <c r="AM22" s="92"/>
      <c r="AN22" s="233"/>
      <c r="AO22" s="54"/>
      <c r="AP22" s="175"/>
    </row>
    <row r="23" spans="1:42" s="50" customFormat="1" ht="18.75" customHeight="1">
      <c r="A23" s="509"/>
      <c r="B23" s="53"/>
      <c r="C23" s="53"/>
      <c r="D23" s="57"/>
      <c r="E23" s="75"/>
      <c r="F23" s="193"/>
      <c r="G23" s="52">
        <f t="shared" si="4"/>
        <v>0</v>
      </c>
      <c r="H23" s="466"/>
      <c r="I23" s="59"/>
      <c r="J23" s="59"/>
      <c r="K23" s="75"/>
      <c r="L23" s="75"/>
      <c r="M23" s="193"/>
      <c r="N23" s="52">
        <f>K23*M23</f>
        <v>0</v>
      </c>
      <c r="O23" s="338"/>
      <c r="P23" s="23"/>
      <c r="Q23" s="23"/>
      <c r="R23" s="92"/>
      <c r="S23" s="97"/>
      <c r="T23" s="193"/>
      <c r="U23" s="175">
        <f t="shared" si="2"/>
        <v>0</v>
      </c>
      <c r="V23" s="425"/>
      <c r="W23" s="269" t="s">
        <v>283</v>
      </c>
      <c r="X23" s="156"/>
      <c r="Y23" s="92"/>
      <c r="Z23" s="97"/>
      <c r="AA23" s="193"/>
      <c r="AB23" s="175"/>
      <c r="AC23" s="443"/>
      <c r="AD23" s="56"/>
      <c r="AE23" s="56"/>
      <c r="AF23" s="92"/>
      <c r="AG23" s="97"/>
      <c r="AH23" s="193"/>
      <c r="AI23" s="175">
        <f>AF23*AH23</f>
        <v>0</v>
      </c>
      <c r="AJ23" s="443"/>
      <c r="AK23" s="56"/>
      <c r="AL23" s="56"/>
      <c r="AM23" s="92"/>
      <c r="AN23" s="233"/>
      <c r="AO23" s="54"/>
      <c r="AP23" s="175">
        <f t="shared" si="0"/>
        <v>0</v>
      </c>
    </row>
    <row r="24" spans="1:42" s="50" customFormat="1" ht="18.75" customHeight="1" thickBot="1">
      <c r="A24" s="509"/>
      <c r="B24" s="29" t="s">
        <v>58</v>
      </c>
      <c r="C24" s="78">
        <v>60</v>
      </c>
      <c r="D24" s="23">
        <f>ROUND($AL$1*C24/1000,0)</f>
        <v>4</v>
      </c>
      <c r="E24" s="99" t="s">
        <v>0</v>
      </c>
      <c r="F24" s="324"/>
      <c r="G24" s="165">
        <f t="shared" si="4"/>
        <v>0</v>
      </c>
      <c r="H24" s="410"/>
      <c r="I24" s="150"/>
      <c r="J24" s="150"/>
      <c r="K24" s="151"/>
      <c r="L24" s="151"/>
      <c r="M24" s="324"/>
      <c r="N24" s="165">
        <f>K24*M24</f>
        <v>0</v>
      </c>
      <c r="O24" s="338"/>
      <c r="P24" s="257"/>
      <c r="Q24" s="257"/>
      <c r="R24" s="255"/>
      <c r="S24" s="256"/>
      <c r="T24" s="324"/>
      <c r="U24" s="258">
        <f t="shared" si="2"/>
        <v>0</v>
      </c>
      <c r="V24" s="488"/>
      <c r="W24" s="281" t="s">
        <v>168</v>
      </c>
      <c r="X24" s="281">
        <v>62</v>
      </c>
      <c r="Y24" s="57">
        <f>ROUND($AL$1*X24/1000,1)</f>
        <v>4.5</v>
      </c>
      <c r="Z24" s="282" t="s">
        <v>2</v>
      </c>
      <c r="AA24" s="324"/>
      <c r="AB24" s="175">
        <f>Y24*AA24</f>
        <v>0</v>
      </c>
      <c r="AC24" s="443"/>
      <c r="AD24" s="254"/>
      <c r="AE24" s="254"/>
      <c r="AF24" s="255"/>
      <c r="AG24" s="256"/>
      <c r="AH24" s="324"/>
      <c r="AI24" s="175">
        <f>AF24*AH24</f>
        <v>0</v>
      </c>
      <c r="AJ24" s="443"/>
      <c r="AK24" s="254"/>
      <c r="AL24" s="254"/>
      <c r="AM24" s="255"/>
      <c r="AN24" s="330"/>
      <c r="AO24" s="54"/>
      <c r="AP24" s="175">
        <f t="shared" si="0"/>
        <v>0</v>
      </c>
    </row>
    <row r="25" spans="1:43" s="40" customFormat="1" ht="18.75" customHeight="1">
      <c r="A25" s="412" t="s">
        <v>79</v>
      </c>
      <c r="B25" s="101" t="s">
        <v>80</v>
      </c>
      <c r="C25" s="343">
        <v>2.5</v>
      </c>
      <c r="D25" s="343"/>
      <c r="E25" s="344"/>
      <c r="F25" s="383" t="e">
        <f>SUM(G6:G24)</f>
        <v>#VALUE!</v>
      </c>
      <c r="G25" s="371"/>
      <c r="H25" s="407" t="s">
        <v>79</v>
      </c>
      <c r="I25" s="101" t="s">
        <v>80</v>
      </c>
      <c r="J25" s="343">
        <v>2.8</v>
      </c>
      <c r="K25" s="343"/>
      <c r="L25" s="344"/>
      <c r="M25" s="503" t="e">
        <f>SUM(N6:N24)</f>
        <v>#VALUE!</v>
      </c>
      <c r="N25" s="504"/>
      <c r="O25" s="394" t="s">
        <v>79</v>
      </c>
      <c r="P25" s="101" t="s">
        <v>80</v>
      </c>
      <c r="Q25" s="343">
        <v>2</v>
      </c>
      <c r="R25" s="343"/>
      <c r="S25" s="344"/>
      <c r="T25" s="503">
        <f>SUM(U6:U24)</f>
        <v>0</v>
      </c>
      <c r="U25" s="504"/>
      <c r="V25" s="407" t="s">
        <v>79</v>
      </c>
      <c r="W25" s="101" t="s">
        <v>80</v>
      </c>
      <c r="X25" s="343">
        <v>2.5</v>
      </c>
      <c r="Y25" s="343"/>
      <c r="Z25" s="344"/>
      <c r="AA25" s="397">
        <f>SUM(AB6:AB24)</f>
        <v>0</v>
      </c>
      <c r="AB25" s="371"/>
      <c r="AC25" s="407" t="s">
        <v>79</v>
      </c>
      <c r="AD25" s="101" t="s">
        <v>80</v>
      </c>
      <c r="AE25" s="343">
        <v>2</v>
      </c>
      <c r="AF25" s="343"/>
      <c r="AG25" s="344"/>
      <c r="AH25" s="397">
        <f>SUM(AI6:AI24)</f>
        <v>0</v>
      </c>
      <c r="AI25" s="398"/>
      <c r="AJ25" s="407" t="s">
        <v>79</v>
      </c>
      <c r="AK25" s="101" t="s">
        <v>80</v>
      </c>
      <c r="AL25" s="343">
        <v>2</v>
      </c>
      <c r="AM25" s="343"/>
      <c r="AN25" s="447"/>
      <c r="AO25" s="397">
        <f>SUM(AP6:AP24)</f>
        <v>0</v>
      </c>
      <c r="AP25" s="398"/>
      <c r="AQ25" s="128">
        <f>(AL25+C25+J25+Q25+X25)/3</f>
        <v>3.9333333333333336</v>
      </c>
    </row>
    <row r="26" spans="1:43" s="40" customFormat="1" ht="18.75" customHeight="1">
      <c r="A26" s="413"/>
      <c r="B26" s="103" t="s">
        <v>81</v>
      </c>
      <c r="C26" s="345">
        <v>0.7</v>
      </c>
      <c r="D26" s="345"/>
      <c r="E26" s="346"/>
      <c r="F26" s="108"/>
      <c r="G26" s="105"/>
      <c r="H26" s="408"/>
      <c r="I26" s="103" t="s">
        <v>81</v>
      </c>
      <c r="J26" s="345">
        <v>0.8</v>
      </c>
      <c r="K26" s="345"/>
      <c r="L26" s="346"/>
      <c r="M26" s="241"/>
      <c r="N26" s="105"/>
      <c r="O26" s="395"/>
      <c r="P26" s="103" t="s">
        <v>81</v>
      </c>
      <c r="Q26" s="345">
        <v>0.5</v>
      </c>
      <c r="R26" s="345"/>
      <c r="S26" s="346"/>
      <c r="T26" s="241"/>
      <c r="U26" s="105"/>
      <c r="V26" s="408"/>
      <c r="W26" s="103" t="s">
        <v>81</v>
      </c>
      <c r="X26" s="345">
        <v>0.7</v>
      </c>
      <c r="Y26" s="345"/>
      <c r="Z26" s="346"/>
      <c r="AA26" s="108"/>
      <c r="AB26" s="105"/>
      <c r="AC26" s="408"/>
      <c r="AD26" s="103" t="s">
        <v>81</v>
      </c>
      <c r="AE26" s="345">
        <v>0.7</v>
      </c>
      <c r="AF26" s="345"/>
      <c r="AG26" s="346"/>
      <c r="AH26" s="109"/>
      <c r="AI26" s="110"/>
      <c r="AJ26" s="408"/>
      <c r="AK26" s="103" t="s">
        <v>81</v>
      </c>
      <c r="AL26" s="345">
        <v>0.7</v>
      </c>
      <c r="AM26" s="345"/>
      <c r="AN26" s="438"/>
      <c r="AO26" s="109"/>
      <c r="AP26" s="110"/>
      <c r="AQ26" s="128">
        <f aca="true" t="shared" si="5" ref="AQ26:AQ31">(AL26+C26+J26+Q26+X26)/3</f>
        <v>1.1333333333333335</v>
      </c>
    </row>
    <row r="27" spans="1:43" s="40" customFormat="1" ht="18.75" customHeight="1">
      <c r="A27" s="413"/>
      <c r="B27" s="111" t="s">
        <v>84</v>
      </c>
      <c r="C27" s="345">
        <v>0.3</v>
      </c>
      <c r="D27" s="345"/>
      <c r="E27" s="346"/>
      <c r="F27" s="108"/>
      <c r="G27" s="105"/>
      <c r="H27" s="408"/>
      <c r="I27" s="111" t="s">
        <v>84</v>
      </c>
      <c r="J27" s="345">
        <v>0.5</v>
      </c>
      <c r="K27" s="345"/>
      <c r="L27" s="346"/>
      <c r="M27" s="241"/>
      <c r="N27" s="105"/>
      <c r="O27" s="395"/>
      <c r="P27" s="111" t="s">
        <v>84</v>
      </c>
      <c r="Q27" s="345">
        <v>0.4</v>
      </c>
      <c r="R27" s="345"/>
      <c r="S27" s="346"/>
      <c r="T27" s="241"/>
      <c r="U27" s="105"/>
      <c r="V27" s="408"/>
      <c r="W27" s="111" t="s">
        <v>84</v>
      </c>
      <c r="X27" s="345">
        <v>0.6</v>
      </c>
      <c r="Y27" s="345"/>
      <c r="Z27" s="346"/>
      <c r="AA27" s="108"/>
      <c r="AB27" s="105"/>
      <c r="AC27" s="408"/>
      <c r="AD27" s="111" t="s">
        <v>84</v>
      </c>
      <c r="AE27" s="345">
        <v>0.4</v>
      </c>
      <c r="AF27" s="345"/>
      <c r="AG27" s="346"/>
      <c r="AH27" s="109"/>
      <c r="AI27" s="110"/>
      <c r="AJ27" s="408"/>
      <c r="AK27" s="111" t="s">
        <v>84</v>
      </c>
      <c r="AL27" s="345">
        <v>0.4</v>
      </c>
      <c r="AM27" s="345"/>
      <c r="AN27" s="438"/>
      <c r="AO27" s="109"/>
      <c r="AP27" s="110"/>
      <c r="AQ27" s="128">
        <f t="shared" si="5"/>
        <v>0.7333333333333334</v>
      </c>
    </row>
    <row r="28" spans="1:43" s="40" customFormat="1" ht="18.75" customHeight="1">
      <c r="A28" s="413"/>
      <c r="B28" s="112" t="s">
        <v>82</v>
      </c>
      <c r="C28" s="345">
        <v>0.5</v>
      </c>
      <c r="D28" s="345"/>
      <c r="E28" s="346"/>
      <c r="F28" s="108"/>
      <c r="G28" s="105"/>
      <c r="H28" s="408"/>
      <c r="I28" s="112" t="s">
        <v>83</v>
      </c>
      <c r="J28" s="345">
        <v>0.5</v>
      </c>
      <c r="K28" s="345"/>
      <c r="L28" s="346"/>
      <c r="M28" s="241"/>
      <c r="N28" s="105"/>
      <c r="O28" s="395"/>
      <c r="P28" s="112" t="s">
        <v>83</v>
      </c>
      <c r="Q28" s="345">
        <v>0.5</v>
      </c>
      <c r="R28" s="345"/>
      <c r="S28" s="346"/>
      <c r="T28" s="241"/>
      <c r="U28" s="105"/>
      <c r="V28" s="408"/>
      <c r="W28" s="112" t="s">
        <v>83</v>
      </c>
      <c r="X28" s="345">
        <v>0.5</v>
      </c>
      <c r="Y28" s="345"/>
      <c r="Z28" s="346"/>
      <c r="AA28" s="108"/>
      <c r="AB28" s="105"/>
      <c r="AC28" s="408"/>
      <c r="AD28" s="112" t="s">
        <v>83</v>
      </c>
      <c r="AE28" s="345">
        <v>0.5</v>
      </c>
      <c r="AF28" s="345"/>
      <c r="AG28" s="346"/>
      <c r="AH28" s="109"/>
      <c r="AI28" s="110"/>
      <c r="AJ28" s="408"/>
      <c r="AK28" s="112" t="s">
        <v>83</v>
      </c>
      <c r="AL28" s="345">
        <v>0.5</v>
      </c>
      <c r="AM28" s="345"/>
      <c r="AN28" s="438"/>
      <c r="AO28" s="109"/>
      <c r="AP28" s="110"/>
      <c r="AQ28" s="128">
        <f t="shared" si="5"/>
        <v>0.8333333333333334</v>
      </c>
    </row>
    <row r="29" spans="1:43" s="40" customFormat="1" ht="18.75" customHeight="1">
      <c r="A29" s="413"/>
      <c r="B29" s="103" t="s">
        <v>85</v>
      </c>
      <c r="C29" s="345">
        <v>0.5</v>
      </c>
      <c r="D29" s="345"/>
      <c r="E29" s="346"/>
      <c r="F29" s="108"/>
      <c r="G29" s="105"/>
      <c r="H29" s="408"/>
      <c r="I29" s="103" t="s">
        <v>85</v>
      </c>
      <c r="J29" s="345">
        <v>0</v>
      </c>
      <c r="K29" s="345"/>
      <c r="L29" s="346"/>
      <c r="M29" s="241"/>
      <c r="N29" s="105"/>
      <c r="O29" s="395"/>
      <c r="P29" s="103" t="s">
        <v>85</v>
      </c>
      <c r="Q29" s="345">
        <v>1</v>
      </c>
      <c r="R29" s="345"/>
      <c r="S29" s="346"/>
      <c r="T29" s="241"/>
      <c r="U29" s="105"/>
      <c r="V29" s="408"/>
      <c r="W29" s="103" t="s">
        <v>85</v>
      </c>
      <c r="X29" s="345">
        <v>1</v>
      </c>
      <c r="Y29" s="345"/>
      <c r="Z29" s="346"/>
      <c r="AA29" s="108"/>
      <c r="AB29" s="105"/>
      <c r="AC29" s="408"/>
      <c r="AD29" s="103" t="s">
        <v>85</v>
      </c>
      <c r="AE29" s="345">
        <v>1</v>
      </c>
      <c r="AF29" s="345"/>
      <c r="AG29" s="346"/>
      <c r="AH29" s="109"/>
      <c r="AI29" s="110"/>
      <c r="AJ29" s="408"/>
      <c r="AK29" s="103" t="s">
        <v>85</v>
      </c>
      <c r="AL29" s="345">
        <v>1</v>
      </c>
      <c r="AM29" s="345"/>
      <c r="AN29" s="438"/>
      <c r="AO29" s="109"/>
      <c r="AP29" s="110"/>
      <c r="AQ29" s="128">
        <f t="shared" si="5"/>
        <v>1.1666666666666667</v>
      </c>
    </row>
    <row r="30" spans="1:43" s="40" customFormat="1" ht="18.75" customHeight="1">
      <c r="A30" s="413"/>
      <c r="B30" s="103" t="s">
        <v>86</v>
      </c>
      <c r="C30" s="345">
        <v>0.6</v>
      </c>
      <c r="D30" s="345"/>
      <c r="E30" s="346"/>
      <c r="F30" s="108"/>
      <c r="G30" s="105"/>
      <c r="H30" s="408"/>
      <c r="I30" s="103" t="s">
        <v>86</v>
      </c>
      <c r="J30" s="345">
        <v>0.3</v>
      </c>
      <c r="K30" s="345"/>
      <c r="L30" s="346"/>
      <c r="M30" s="259"/>
      <c r="N30" s="105"/>
      <c r="O30" s="395"/>
      <c r="P30" s="103" t="s">
        <v>86</v>
      </c>
      <c r="Q30" s="345">
        <v>0.6</v>
      </c>
      <c r="R30" s="345"/>
      <c r="S30" s="346"/>
      <c r="T30" s="241"/>
      <c r="U30" s="105"/>
      <c r="V30" s="408"/>
      <c r="W30" s="103" t="s">
        <v>86</v>
      </c>
      <c r="X30" s="345">
        <v>0.2</v>
      </c>
      <c r="Y30" s="345"/>
      <c r="Z30" s="346"/>
      <c r="AA30" s="108"/>
      <c r="AB30" s="105"/>
      <c r="AC30" s="408"/>
      <c r="AD30" s="103" t="s">
        <v>86</v>
      </c>
      <c r="AE30" s="345">
        <v>0.2</v>
      </c>
      <c r="AF30" s="345"/>
      <c r="AG30" s="346"/>
      <c r="AH30" s="109"/>
      <c r="AI30" s="110"/>
      <c r="AJ30" s="408"/>
      <c r="AK30" s="103" t="s">
        <v>86</v>
      </c>
      <c r="AL30" s="345">
        <v>0.2</v>
      </c>
      <c r="AM30" s="345"/>
      <c r="AN30" s="438"/>
      <c r="AO30" s="109"/>
      <c r="AP30" s="110"/>
      <c r="AQ30" s="128">
        <f t="shared" si="5"/>
        <v>0.6333333333333334</v>
      </c>
    </row>
    <row r="31" spans="1:43" s="40" customFormat="1" ht="18.75" customHeight="1" thickBot="1">
      <c r="A31" s="414"/>
      <c r="B31" s="114" t="s">
        <v>87</v>
      </c>
      <c r="C31" s="335">
        <f>C25*70+C26*75+C27*25+C28*45+C30*120+C29*60</f>
        <v>359.5</v>
      </c>
      <c r="D31" s="335"/>
      <c r="E31" s="336"/>
      <c r="F31" s="119"/>
      <c r="G31" s="116"/>
      <c r="H31" s="409"/>
      <c r="I31" s="114" t="s">
        <v>87</v>
      </c>
      <c r="J31" s="335">
        <f>J25*70+J26*75+J27*25+J28*45+J30*120+J29*60</f>
        <v>327</v>
      </c>
      <c r="K31" s="335"/>
      <c r="L31" s="336"/>
      <c r="M31" s="242"/>
      <c r="N31" s="116"/>
      <c r="O31" s="396"/>
      <c r="P31" s="114" t="s">
        <v>87</v>
      </c>
      <c r="Q31" s="335">
        <f>Q25*70+Q26*75+Q27*25+Q28*45+Q30*120+Q29*60</f>
        <v>342</v>
      </c>
      <c r="R31" s="335"/>
      <c r="S31" s="336"/>
      <c r="T31" s="242"/>
      <c r="U31" s="116"/>
      <c r="V31" s="409"/>
      <c r="W31" s="114" t="s">
        <v>87</v>
      </c>
      <c r="X31" s="335">
        <f>X25*70+X26*75+X27*25+X28*45+X30*120+X29*60</f>
        <v>349</v>
      </c>
      <c r="Y31" s="335"/>
      <c r="Z31" s="336"/>
      <c r="AA31" s="119"/>
      <c r="AB31" s="116"/>
      <c r="AC31" s="409"/>
      <c r="AD31" s="114" t="s">
        <v>87</v>
      </c>
      <c r="AE31" s="335">
        <f>AE25*70+AE26*75+AE27*25+AE28*45+AE30*120+AE29*60</f>
        <v>309</v>
      </c>
      <c r="AF31" s="335"/>
      <c r="AG31" s="336"/>
      <c r="AH31" s="120"/>
      <c r="AI31" s="121"/>
      <c r="AJ31" s="409"/>
      <c r="AK31" s="114" t="s">
        <v>87</v>
      </c>
      <c r="AL31" s="335">
        <f>AL25*70+AL26*75+AL27*25+AL28*45+AL30*120+AL29*60</f>
        <v>309</v>
      </c>
      <c r="AM31" s="335"/>
      <c r="AN31" s="441"/>
      <c r="AO31" s="120"/>
      <c r="AP31" s="121"/>
      <c r="AQ31" s="128">
        <f t="shared" si="5"/>
        <v>562.1666666666666</v>
      </c>
    </row>
    <row r="32" spans="1:42" s="50" customFormat="1" ht="18.75" customHeight="1">
      <c r="A32" s="81"/>
      <c r="B32" s="82"/>
      <c r="C32" s="82"/>
      <c r="D32" s="122"/>
      <c r="E32" s="122"/>
      <c r="F32" s="83"/>
      <c r="G32" s="82"/>
      <c r="H32" s="84"/>
      <c r="I32" s="82"/>
      <c r="J32" s="82"/>
      <c r="K32" s="122"/>
      <c r="L32" s="122"/>
      <c r="M32" s="83"/>
      <c r="N32" s="82"/>
      <c r="O32" s="85"/>
      <c r="P32" s="81"/>
      <c r="Q32" s="81"/>
      <c r="R32" s="89"/>
      <c r="S32" s="89"/>
      <c r="T32" s="83"/>
      <c r="U32" s="82"/>
      <c r="V32" s="84"/>
      <c r="W32" s="81"/>
      <c r="X32" s="81"/>
      <c r="Y32" s="89"/>
      <c r="Z32" s="89"/>
      <c r="AA32" s="83"/>
      <c r="AB32" s="82"/>
      <c r="AC32" s="81"/>
      <c r="AD32" s="82"/>
      <c r="AE32" s="82"/>
      <c r="AF32" s="122"/>
      <c r="AG32" s="122"/>
      <c r="AH32" s="83"/>
      <c r="AI32" s="82"/>
      <c r="AJ32" s="81"/>
      <c r="AK32" s="82"/>
      <c r="AL32" s="82"/>
      <c r="AM32" s="122"/>
      <c r="AN32" s="122"/>
      <c r="AO32" s="83"/>
      <c r="AP32" s="82"/>
    </row>
    <row r="33" spans="1:52" s="50" customFormat="1" ht="19.5" customHeight="1">
      <c r="A33" s="373" t="s">
        <v>50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123"/>
      <c r="AQ33" s="65"/>
      <c r="AR33" s="65"/>
      <c r="AS33" s="65"/>
      <c r="AT33" s="65"/>
      <c r="AU33" s="65"/>
      <c r="AV33" s="65"/>
      <c r="AW33" s="65"/>
      <c r="AX33" s="65"/>
      <c r="AY33" s="65"/>
      <c r="AZ33" s="65"/>
    </row>
    <row r="34" spans="1:52" s="50" customFormat="1" ht="22.5" customHeight="1">
      <c r="A34" s="385" t="s">
        <v>61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5"/>
      <c r="AO34" s="385"/>
      <c r="AP34" s="124"/>
      <c r="AQ34" s="65"/>
      <c r="AR34" s="65"/>
      <c r="AS34" s="65"/>
      <c r="AT34" s="65"/>
      <c r="AU34" s="65"/>
      <c r="AV34" s="65"/>
      <c r="AW34" s="65"/>
      <c r="AX34" s="65"/>
      <c r="AY34" s="65"/>
      <c r="AZ34" s="65"/>
    </row>
    <row r="35" ht="22.5" customHeight="1"/>
  </sheetData>
  <sheetProtection/>
  <mergeCells count="101">
    <mergeCell ref="AH25:AI25"/>
    <mergeCell ref="AE26:AG26"/>
    <mergeCell ref="AE27:AG27"/>
    <mergeCell ref="AE28:AG28"/>
    <mergeCell ref="AE29:AG29"/>
    <mergeCell ref="AE30:AG30"/>
    <mergeCell ref="AC5:AG5"/>
    <mergeCell ref="AC6:AC15"/>
    <mergeCell ref="AC16:AG16"/>
    <mergeCell ref="AC17:AC24"/>
    <mergeCell ref="AC25:AC31"/>
    <mergeCell ref="AE25:AG25"/>
    <mergeCell ref="AE31:AG31"/>
    <mergeCell ref="AR2:AR9"/>
    <mergeCell ref="A2:A4"/>
    <mergeCell ref="B2:E2"/>
    <mergeCell ref="H2:H4"/>
    <mergeCell ref="I2:L2"/>
    <mergeCell ref="O2:O4"/>
    <mergeCell ref="P2:S2"/>
    <mergeCell ref="AJ6:AJ15"/>
    <mergeCell ref="AK2:AN2"/>
    <mergeCell ref="B4:E4"/>
    <mergeCell ref="I4:L4"/>
    <mergeCell ref="P4:S4"/>
    <mergeCell ref="W4:Z4"/>
    <mergeCell ref="AK4:AN4"/>
    <mergeCell ref="V2:V4"/>
    <mergeCell ref="W2:Z2"/>
    <mergeCell ref="AJ2:AJ4"/>
    <mergeCell ref="AC2:AC4"/>
    <mergeCell ref="AD2:AG2"/>
    <mergeCell ref="AD4:AG4"/>
    <mergeCell ref="AJ17:AJ24"/>
    <mergeCell ref="A5:E5"/>
    <mergeCell ref="H5:L5"/>
    <mergeCell ref="O5:S5"/>
    <mergeCell ref="V5:Z5"/>
    <mergeCell ref="AJ5:AN5"/>
    <mergeCell ref="A6:A15"/>
    <mergeCell ref="H6:H15"/>
    <mergeCell ref="O6:O15"/>
    <mergeCell ref="V6:V15"/>
    <mergeCell ref="C26:E26"/>
    <mergeCell ref="A16:E16"/>
    <mergeCell ref="H16:L16"/>
    <mergeCell ref="O16:S16"/>
    <mergeCell ref="V16:Z16"/>
    <mergeCell ref="AJ16:AN16"/>
    <mergeCell ref="A17:A24"/>
    <mergeCell ref="H17:H24"/>
    <mergeCell ref="O17:O24"/>
    <mergeCell ref="V17:V24"/>
    <mergeCell ref="AO25:AP25"/>
    <mergeCell ref="A25:A31"/>
    <mergeCell ref="C25:E25"/>
    <mergeCell ref="F25:G25"/>
    <mergeCell ref="H25:H31"/>
    <mergeCell ref="J25:L25"/>
    <mergeCell ref="M25:N25"/>
    <mergeCell ref="C27:E27"/>
    <mergeCell ref="J27:L27"/>
    <mergeCell ref="J29:L29"/>
    <mergeCell ref="Q25:S25"/>
    <mergeCell ref="T25:U25"/>
    <mergeCell ref="V25:V31"/>
    <mergeCell ref="AL27:AN27"/>
    <mergeCell ref="X25:Z25"/>
    <mergeCell ref="AA25:AB25"/>
    <mergeCell ref="AJ25:AJ31"/>
    <mergeCell ref="X27:Z27"/>
    <mergeCell ref="AL25:AN25"/>
    <mergeCell ref="X28:Z28"/>
    <mergeCell ref="AL28:AN28"/>
    <mergeCell ref="Q29:S29"/>
    <mergeCell ref="X29:Z29"/>
    <mergeCell ref="AL29:AN29"/>
    <mergeCell ref="J26:L26"/>
    <mergeCell ref="Q26:S26"/>
    <mergeCell ref="X26:Z26"/>
    <mergeCell ref="AL26:AN26"/>
    <mergeCell ref="C30:E30"/>
    <mergeCell ref="J30:L30"/>
    <mergeCell ref="Q30:S30"/>
    <mergeCell ref="X30:Z30"/>
    <mergeCell ref="AL30:AN30"/>
    <mergeCell ref="O25:O31"/>
    <mergeCell ref="Q27:S27"/>
    <mergeCell ref="C28:E28"/>
    <mergeCell ref="J28:L28"/>
    <mergeCell ref="Q28:S28"/>
    <mergeCell ref="A34:AO34"/>
    <mergeCell ref="A1:L1"/>
    <mergeCell ref="P1:AK1"/>
    <mergeCell ref="C31:E31"/>
    <mergeCell ref="J31:L31"/>
    <mergeCell ref="Q31:S31"/>
    <mergeCell ref="X31:Z31"/>
    <mergeCell ref="AL31:AN31"/>
    <mergeCell ref="A33:AO33"/>
    <mergeCell ref="C29:E29"/>
  </mergeCells>
  <printOptions/>
  <pageMargins left="0.1968503937007874" right="0.11811023622047245" top="0.15748031496062992" bottom="0.15748031496062992" header="0.31496062992125984" footer="0.31496062992125984"/>
  <pageSetup fitToHeight="1" fitToWidth="1" horizontalDpi="600" verticalDpi="600" orientation="landscape" paperSize="9" scale="8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zoomScalePageLayoutView="0" workbookViewId="0" topLeftCell="A7">
      <selection activeCell="A18" sqref="A18:F18"/>
    </sheetView>
  </sheetViews>
  <sheetFormatPr defaultColWidth="9.00390625" defaultRowHeight="16.5"/>
  <cols>
    <col min="1" max="1" width="4.75390625" style="22" customWidth="1"/>
    <col min="2" max="6" width="18.00390625" style="1" customWidth="1"/>
    <col min="7" max="16384" width="9.00390625" style="1" customWidth="1"/>
  </cols>
  <sheetData>
    <row r="1" spans="1:6" ht="50.25" customHeight="1" thickBot="1">
      <c r="A1" s="519" t="s">
        <v>284</v>
      </c>
      <c r="B1" s="519"/>
      <c r="C1" s="519"/>
      <c r="D1" s="519"/>
      <c r="E1" s="519"/>
      <c r="F1" s="519"/>
    </row>
    <row r="2" spans="1:6" s="4" customFormat="1" ht="18" customHeight="1">
      <c r="A2" s="16" t="s">
        <v>9</v>
      </c>
      <c r="B2" s="2" t="s">
        <v>8</v>
      </c>
      <c r="C2" s="2" t="s">
        <v>4</v>
      </c>
      <c r="D2" s="2" t="s">
        <v>5</v>
      </c>
      <c r="E2" s="2" t="s">
        <v>6</v>
      </c>
      <c r="F2" s="3" t="s">
        <v>7</v>
      </c>
    </row>
    <row r="3" spans="1:6" s="4" customFormat="1" ht="18" customHeight="1">
      <c r="A3" s="17" t="s">
        <v>11</v>
      </c>
      <c r="B3" s="5"/>
      <c r="C3" s="5"/>
      <c r="D3" s="5"/>
      <c r="E3" s="334"/>
      <c r="F3" s="6">
        <v>1</v>
      </c>
    </row>
    <row r="4" spans="1:6" s="9" customFormat="1" ht="42" customHeight="1">
      <c r="A4" s="18" t="s">
        <v>3</v>
      </c>
      <c r="B4" s="7"/>
      <c r="C4" s="7"/>
      <c r="D4" s="7"/>
      <c r="E4" s="7"/>
      <c r="F4" s="8" t="str">
        <f>'第一周'!AC6</f>
        <v>吐司夾洋蔥肉片</v>
      </c>
    </row>
    <row r="5" spans="1:6" s="9" customFormat="1" ht="42" customHeight="1">
      <c r="A5" s="19" t="s">
        <v>10</v>
      </c>
      <c r="B5" s="10"/>
      <c r="C5" s="10"/>
      <c r="D5" s="10">
        <f>'第一周'!O17</f>
        <v>0</v>
      </c>
      <c r="E5" s="10"/>
      <c r="F5" s="11" t="str">
        <f>'第一周'!AC17</f>
        <v>水果拼盤  / 鮮奶</v>
      </c>
    </row>
    <row r="6" spans="1:6" s="9" customFormat="1" ht="18" customHeight="1">
      <c r="A6" s="17" t="s">
        <v>11</v>
      </c>
      <c r="B6" s="12">
        <v>4</v>
      </c>
      <c r="C6" s="12">
        <f>B6+1</f>
        <v>5</v>
      </c>
      <c r="D6" s="12">
        <f>C6+1</f>
        <v>6</v>
      </c>
      <c r="E6" s="12">
        <f>D6+1</f>
        <v>7</v>
      </c>
      <c r="F6" s="13">
        <f>E6+1</f>
        <v>8</v>
      </c>
    </row>
    <row r="7" spans="1:6" s="9" customFormat="1" ht="51" customHeight="1">
      <c r="A7" s="18" t="s">
        <v>3</v>
      </c>
      <c r="B7" s="7" t="str">
        <f>'第二週'!A6</f>
        <v>鮮筍肉包 / 鮮奶</v>
      </c>
      <c r="C7" s="7" t="str">
        <f>'第二週'!H6</f>
        <v>肉醬義大利麵</v>
      </c>
      <c r="D7" s="7" t="str">
        <f>'第二週'!O6</f>
        <v>大滷麵</v>
      </c>
      <c r="E7" s="7" t="str">
        <f>'第二週'!V6</f>
        <v>鮭魚蛋炒飯</v>
      </c>
      <c r="F7" s="8" t="str">
        <f>'第二週'!AC6</f>
        <v>蘿蔔糕炒蛋  /  豆米漿</v>
      </c>
    </row>
    <row r="8" spans="1:6" s="9" customFormat="1" ht="51" customHeight="1">
      <c r="A8" s="19" t="s">
        <v>10</v>
      </c>
      <c r="B8" s="10" t="str">
        <f>'第二週'!A17</f>
        <v>麻油赤肉麵線</v>
      </c>
      <c r="C8" s="10" t="str">
        <f>'第二週'!H17</f>
        <v>自製水果凍</v>
      </c>
      <c r="D8" s="10" t="str">
        <f>'第二週'!O17</f>
        <v>水果拼盤  /  鮮奶</v>
      </c>
      <c r="E8" s="10" t="str">
        <f>'第二週'!V17</f>
        <v>桂圓紅棗銀耳奶  /  水果</v>
      </c>
      <c r="F8" s="11" t="str">
        <f>'第二週'!AC17</f>
        <v>水果拼盤  /  鮮奶</v>
      </c>
    </row>
    <row r="9" spans="1:6" s="9" customFormat="1" ht="18" customHeight="1">
      <c r="A9" s="17" t="s">
        <v>11</v>
      </c>
      <c r="B9" s="12">
        <f>B6+7</f>
        <v>11</v>
      </c>
      <c r="C9" s="12">
        <f>B9+1</f>
        <v>12</v>
      </c>
      <c r="D9" s="12">
        <f>C9+1</f>
        <v>13</v>
      </c>
      <c r="E9" s="12">
        <f>D9+1</f>
        <v>14</v>
      </c>
      <c r="F9" s="13">
        <f>E9+1</f>
        <v>15</v>
      </c>
    </row>
    <row r="10" spans="1:6" s="9" customFormat="1" ht="51" customHeight="1">
      <c r="A10" s="18" t="s">
        <v>3</v>
      </c>
      <c r="B10" s="7" t="str">
        <f>'第三周 '!A6</f>
        <v>菜包     /  水果 / 牛奶</v>
      </c>
      <c r="C10" s="7" t="str">
        <f>'第三周 '!H6</f>
        <v>起司紅蘿蔔蛋餅 / 鮮奶米漿</v>
      </c>
      <c r="D10" s="7" t="str">
        <f>'第三周 '!O6</f>
        <v>什錦炒米粉</v>
      </c>
      <c r="E10" s="7" t="str">
        <f>'第三周 '!V6</f>
        <v>香菇雞麵 / 水果</v>
      </c>
      <c r="F10" s="8" t="str">
        <f>'第三周 '!AC6</f>
        <v>花枝稀飯</v>
      </c>
    </row>
    <row r="11" spans="1:6" s="9" customFormat="1" ht="51" customHeight="1">
      <c r="A11" s="19" t="s">
        <v>10</v>
      </c>
      <c r="B11" s="10" t="str">
        <f>'第三周 '!A17</f>
        <v>銀魚菠菜羹</v>
      </c>
      <c r="C11" s="10" t="str">
        <f>'第三周 '!H17</f>
        <v>蘑菇濃湯</v>
      </c>
      <c r="D11" s="10" t="str">
        <f>'第三周 '!O17</f>
        <v>水果拼盤  / 鮮奶</v>
      </c>
      <c r="E11" s="10" t="str">
        <f>'第三周 '!V17</f>
        <v>紫米紅豆西谷米</v>
      </c>
      <c r="F11" s="11" t="str">
        <f>'第三周 '!AC17</f>
        <v>水果拼盤  /  鮮奶</v>
      </c>
    </row>
    <row r="12" spans="1:6" s="9" customFormat="1" ht="18" customHeight="1">
      <c r="A12" s="17" t="s">
        <v>11</v>
      </c>
      <c r="B12" s="12">
        <f>B9+7</f>
        <v>18</v>
      </c>
      <c r="C12" s="12">
        <f>B12+1</f>
        <v>19</v>
      </c>
      <c r="D12" s="12">
        <f>C12+1</f>
        <v>20</v>
      </c>
      <c r="E12" s="12">
        <f>D12+1</f>
        <v>21</v>
      </c>
      <c r="F12" s="13">
        <f>E12+1</f>
        <v>22</v>
      </c>
    </row>
    <row r="13" spans="1:6" s="9" customFormat="1" ht="51" customHeight="1">
      <c r="A13" s="18" t="s">
        <v>3</v>
      </c>
      <c r="B13" s="7" t="str">
        <f>'第四周'!A6</f>
        <v>餡餅  /  豆漿鮮奶</v>
      </c>
      <c r="C13" s="7" t="str">
        <f>'第四周'!H6</f>
        <v>餛飩麵</v>
      </c>
      <c r="D13" s="7" t="str">
        <f>'第四周'!O6</f>
        <v>大瓜鮮菇粥</v>
      </c>
      <c r="E13" s="7" t="str">
        <f>'第四周'!V6</f>
        <v>吐司夾鮪魚蛋   </v>
      </c>
      <c r="F13" s="8" t="str">
        <f>'第四周'!AC6</f>
        <v>炒年糕</v>
      </c>
    </row>
    <row r="14" spans="1:6" s="9" customFormat="1" ht="51" customHeight="1" thickBot="1">
      <c r="A14" s="20" t="s">
        <v>10</v>
      </c>
      <c r="B14" s="14" t="str">
        <f>'第四周'!A17</f>
        <v>南瓜濃湯</v>
      </c>
      <c r="C14" s="14" t="str">
        <f>'第四周'!H17</f>
        <v>水果拼盤  / 鮮奶</v>
      </c>
      <c r="D14" s="14" t="str">
        <f>'第四周'!O17</f>
        <v>水果牛奶麥片</v>
      </c>
      <c r="E14" s="14" t="str">
        <f>'第四周'!V17</f>
        <v>水果拼盤  / 鮮奶</v>
      </c>
      <c r="F14" s="15" t="str">
        <f>'第四周'!AC17</f>
        <v>芋頭西米露 / 水果</v>
      </c>
    </row>
    <row r="15" spans="1:6" s="9" customFormat="1" ht="16.5">
      <c r="A15" s="190" t="s">
        <v>11</v>
      </c>
      <c r="B15" s="191">
        <f>B12+7</f>
        <v>25</v>
      </c>
      <c r="C15" s="191">
        <f>B15+1</f>
        <v>26</v>
      </c>
      <c r="D15" s="191">
        <f>C15+1</f>
        <v>27</v>
      </c>
      <c r="E15" s="191">
        <f>D15+1</f>
        <v>28</v>
      </c>
      <c r="F15" s="191">
        <f>E15+1</f>
        <v>29</v>
      </c>
    </row>
    <row r="16" spans="1:6" s="9" customFormat="1" ht="51" customHeight="1">
      <c r="A16" s="18" t="s">
        <v>3</v>
      </c>
      <c r="B16" s="7" t="str">
        <f>'第五周'!A6</f>
        <v>肉包     /   鮮奶</v>
      </c>
      <c r="C16" s="7" t="str">
        <f>'第五周'!H6</f>
        <v>蒜頭蛤蠣麵</v>
      </c>
      <c r="D16" s="7" t="str">
        <f>'第五周'!O6</f>
        <v>刈包夾蔬菜肉片</v>
      </c>
      <c r="E16" s="7" t="str">
        <f>'第五周'!V6</f>
        <v>起司肉末粥 </v>
      </c>
      <c r="F16" s="186" t="str">
        <f>'第五周'!AC6</f>
        <v>酸辣湯餃</v>
      </c>
    </row>
    <row r="17" spans="1:6" s="9" customFormat="1" ht="51" customHeight="1" thickBot="1">
      <c r="A17" s="20" t="s">
        <v>10</v>
      </c>
      <c r="B17" s="14" t="str">
        <f>'第五周'!A17</f>
        <v>蔬菜蛋麵線    /   水果</v>
      </c>
      <c r="C17" s="14" t="str">
        <f>'第五周'!H17</f>
        <v>綠豆牛奶</v>
      </c>
      <c r="D17" s="14" t="str">
        <f>'第五周'!O17</f>
        <v>水果拼盤  / 鮮奶</v>
      </c>
      <c r="E17" s="14" t="str">
        <f>'第五周'!V17</f>
        <v>玉米濃湯  /  水果</v>
      </c>
      <c r="F17" s="187" t="str">
        <f>'第五周'!AC17</f>
        <v>水果拼盤 / 鮮奶</v>
      </c>
    </row>
    <row r="18" spans="1:6" s="4" customFormat="1" ht="27.75" customHeight="1">
      <c r="A18" s="520" t="s">
        <v>185</v>
      </c>
      <c r="B18" s="520"/>
      <c r="C18" s="520"/>
      <c r="D18" s="520"/>
      <c r="E18" s="520"/>
      <c r="F18" s="520"/>
    </row>
    <row r="19" s="4" customFormat="1" ht="15.75">
      <c r="A19" s="21"/>
    </row>
  </sheetData>
  <sheetProtection/>
  <mergeCells count="2">
    <mergeCell ref="A1:F1"/>
    <mergeCell ref="A18:F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2024-03-08T03:44:16Z</cp:lastPrinted>
  <dcterms:created xsi:type="dcterms:W3CDTF">2014-08-13T02:32:12Z</dcterms:created>
  <dcterms:modified xsi:type="dcterms:W3CDTF">2024-03-08T04:04:56Z</dcterms:modified>
  <cp:category/>
  <cp:version/>
  <cp:contentType/>
  <cp:contentStatus/>
</cp:coreProperties>
</file>