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20" firstSheet="1" activeTab="2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</externalReferences>
  <definedNames>
    <definedName name="_xlfn.SINGLE" hidden="1">#NAME?</definedName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3">'第四周'!$A$1:$AI$34</definedName>
  </definedNames>
  <calcPr fullCalcOnLoad="1"/>
</workbook>
</file>

<file path=xl/comments1.xml><?xml version="1.0" encoding="utf-8"?>
<comments xmlns="http://schemas.openxmlformats.org/spreadsheetml/2006/main">
  <authors>
    <author>ST</author>
  </authors>
  <commentList>
    <comment ref="W14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改魷魚條</t>
        </r>
      </text>
    </comment>
    <comment ref="AF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細明體"/>
            <family val="3"/>
          </rPr>
          <t>改</t>
        </r>
        <r>
          <rPr>
            <sz val="16"/>
            <rFont val="Tahoma"/>
            <family val="2"/>
          </rPr>
          <t>50</t>
        </r>
        <r>
          <rPr>
            <sz val="16"/>
            <rFont val="細明體"/>
            <family val="3"/>
          </rPr>
          <t>片</t>
        </r>
      </text>
    </comment>
  </commentList>
</comments>
</file>

<file path=xl/comments2.xml><?xml version="1.0" encoding="utf-8"?>
<comments xmlns="http://schemas.openxmlformats.org/spreadsheetml/2006/main">
  <authors>
    <author>ST</author>
  </authors>
  <commentList>
    <comment ref="D18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細明體"/>
            <family val="3"/>
          </rPr>
          <t>給</t>
        </r>
        <r>
          <rPr>
            <sz val="16"/>
            <rFont val="Tahoma"/>
            <family val="2"/>
          </rPr>
          <t>2</t>
        </r>
        <r>
          <rPr>
            <sz val="16"/>
            <rFont val="細明體"/>
            <family val="3"/>
          </rPr>
          <t>包</t>
        </r>
        <r>
          <rPr>
            <sz val="16"/>
            <rFont val="Tahoma"/>
            <family val="2"/>
          </rPr>
          <t>760g(1</t>
        </r>
        <r>
          <rPr>
            <sz val="16"/>
            <rFont val="細明體"/>
            <family val="3"/>
          </rPr>
          <t>包</t>
        </r>
        <r>
          <rPr>
            <sz val="16"/>
            <rFont val="Tahoma"/>
            <family val="2"/>
          </rPr>
          <t>380g)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</author>
  </authors>
  <commentList>
    <comment ref="M6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要現購還不確定價錢</t>
        </r>
      </text>
    </comment>
    <comment ref="AA18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要現購還不確定價錢</t>
        </r>
      </text>
    </comment>
  </commentList>
</comments>
</file>

<file path=xl/sharedStrings.xml><?xml version="1.0" encoding="utf-8"?>
<sst xmlns="http://schemas.openxmlformats.org/spreadsheetml/2006/main" count="1362" uniqueCount="302">
  <si>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</si>
  <si>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</si>
  <si>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</si>
  <si>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</si>
  <si>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</si>
  <si>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</si>
  <si>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</si>
  <si>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</si>
  <si>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</si>
  <si>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</si>
  <si>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</si>
  <si>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</si>
  <si>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</si>
  <si>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</si>
  <si>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統一鮮奶(低脂2L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</si>
  <si>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</si>
  <si>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</si>
  <si>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</si>
  <si>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</si>
  <si>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</si>
  <si>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</si>
  <si>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</si>
  <si>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</si>
  <si>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</si>
  <si>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</si>
  <si>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</si>
  <si>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</si>
  <si>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</si>
  <si>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</si>
  <si>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</si>
  <si>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</si>
  <si>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</si>
  <si>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</si>
  <si>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</si>
  <si>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</si>
  <si>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</si>
  <si>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</si>
  <si>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</si>
  <si>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</si>
  <si>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</si>
  <si>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</si>
  <si>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</si>
  <si>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</si>
  <si>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</si>
  <si>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</si>
  <si>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</si>
  <si>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</si>
  <si>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</si>
  <si>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</si>
  <si>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</si>
  <si>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</si>
  <si>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</si>
  <si>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</si>
  <si>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</si>
  <si>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</si>
  <si>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</si>
  <si>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</si>
  <si>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</si>
  <si>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</si>
  <si>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</si>
  <si>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</si>
  <si>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</si>
  <si>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</si>
  <si>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</si>
  <si>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</si>
  <si>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</si>
  <si>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</si>
  <si>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</si>
  <si>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</si>
  <si>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</si>
  <si>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</si>
  <si>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</si>
  <si>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</si>
  <si>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</si>
  <si>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</si>
  <si>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</si>
  <si>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</si>
  <si>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</si>
  <si>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</si>
  <si>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</si>
  <si>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</si>
  <si>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</si>
  <si>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</si>
  <si>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</si>
  <si>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</si>
  <si>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</si>
  <si>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</si>
  <si>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</si>
  <si>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</si>
  <si>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</si>
  <si>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</si>
  <si>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</si>
  <si>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</si>
  <si>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</si>
  <si>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</si>
  <si>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</si>
  <si>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低脂絞肉(0.5K)</t>
  </si>
  <si>
    <t>統一鮮奶1L</t>
  </si>
  <si>
    <t>統一優酪乳(約2公升)</t>
  </si>
  <si>
    <t>什錦炒麵</t>
  </si>
  <si>
    <t>袖珍菇</t>
  </si>
  <si>
    <t>雞胸片</t>
  </si>
  <si>
    <t>白麵</t>
  </si>
  <si>
    <t>麻油雞湯麵</t>
  </si>
  <si>
    <t>馬鈴薯</t>
  </si>
  <si>
    <t>玉米醬綠巨人</t>
  </si>
  <si>
    <t>洋菇</t>
  </si>
  <si>
    <t>肉絲蛋炒飯</t>
  </si>
  <si>
    <t>紅蔥頭</t>
  </si>
  <si>
    <t>紅龍果</t>
  </si>
  <si>
    <t>百香果</t>
  </si>
  <si>
    <t>洋菜條:水=1包:3500c.c.</t>
  </si>
  <si>
    <t>自製水果凍</t>
  </si>
  <si>
    <t>吐司(短)</t>
  </si>
  <si>
    <t>洋菜條30g/包</t>
  </si>
  <si>
    <t>餛飩麵</t>
  </si>
  <si>
    <t>桂冠雲吞12入</t>
  </si>
  <si>
    <t>盒</t>
  </si>
  <si>
    <t>小白菜</t>
  </si>
  <si>
    <t>包</t>
  </si>
  <si>
    <t>金針菇</t>
  </si>
  <si>
    <t>柴魚片 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</si>
  <si>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</si>
  <si>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</si>
  <si>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</si>
  <si>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</si>
  <si>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</si>
  <si>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</si>
  <si>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</si>
  <si>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</si>
  <si>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芋頭煮糊</t>
  </si>
  <si>
    <t>(煮稀,水放少以牛奶為主)</t>
  </si>
  <si>
    <t>小木耳</t>
  </si>
  <si>
    <t>低脂肉絲0.5K</t>
  </si>
  <si>
    <t>南瓜濃湯</t>
  </si>
  <si>
    <t>南瓜</t>
  </si>
  <si>
    <t>糙米</t>
  </si>
  <si>
    <t>庫</t>
  </si>
  <si>
    <t>白米</t>
  </si>
  <si>
    <t>低脂絞肉(1K)cas</t>
  </si>
  <si>
    <t>胡椒粉262G</t>
  </si>
  <si>
    <t>芹菜</t>
  </si>
  <si>
    <t>肉醬義大利麵</t>
  </si>
  <si>
    <t>義大利貝殼麵</t>
  </si>
  <si>
    <t>低脂絞肉(1K)</t>
  </si>
  <si>
    <t>玉米筍</t>
  </si>
  <si>
    <t>冷凍青花椰</t>
  </si>
  <si>
    <t>番茄醬(340G)</t>
  </si>
  <si>
    <t>中卷米粉</t>
  </si>
  <si>
    <t>紅蔥頭(先送)</t>
  </si>
  <si>
    <t>柴魚片5G</t>
  </si>
  <si>
    <t>小包</t>
  </si>
  <si>
    <t>酸辣湯麵</t>
  </si>
  <si>
    <t>高麗菜</t>
  </si>
  <si>
    <t>紅蔥頭(先送)</t>
  </si>
  <si>
    <t>低脂肉絲(1K)</t>
  </si>
  <si>
    <t>自製水果奶酪</t>
  </si>
  <si>
    <t>吉利丁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</si>
  <si>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</si>
  <si>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</si>
  <si>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</si>
  <si>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蘑菇濃湯</t>
  </si>
  <si>
    <t>玉米粒CAS</t>
  </si>
  <si>
    <t>奇美熟水餃(200)</t>
  </si>
  <si>
    <t>(高麗菜水餃)</t>
  </si>
  <si>
    <t>紫米紅豆珍珠奶</t>
  </si>
  <si>
    <t>紅豆1K</t>
  </si>
  <si>
    <t>瓜瓜園地瓜珍珠圓</t>
  </si>
  <si>
    <t>紫米0.3K</t>
  </si>
  <si>
    <t>(牛奶供應前加)</t>
  </si>
  <si>
    <t>低脂肉絲(0.5K)</t>
  </si>
  <si>
    <t>甜柿</t>
  </si>
  <si>
    <t>蓮霧</t>
  </si>
  <si>
    <t>紅棗</t>
  </si>
  <si>
    <r>
      <t>三環麵線</t>
    </r>
    <r>
      <rPr>
        <sz val="12"/>
        <rFont val="Times New Roman"/>
        <family val="1"/>
      </rPr>
      <t>0.6K</t>
    </r>
  </si>
  <si>
    <t>統一鮮奶1L(低脂</t>
  </si>
  <si>
    <t>起司玉米蛋餅 / 鮮奶米漿</t>
  </si>
  <si>
    <t>香菇雞麵線 / 水果</t>
  </si>
  <si>
    <t>水梨</t>
  </si>
  <si>
    <t>乾白木耳先送</t>
  </si>
  <si>
    <t>紅棗(先送)</t>
  </si>
  <si>
    <t>黑糖450G庫2包</t>
  </si>
  <si>
    <t>桂圓乾(先送)</t>
  </si>
  <si>
    <t>大盒</t>
  </si>
  <si>
    <t>鮭魚蛋炒飯</t>
  </si>
  <si>
    <t>鮭魚片</t>
  </si>
  <si>
    <t>小番茄</t>
  </si>
  <si>
    <t>柳丁</t>
  </si>
  <si>
    <t>青江菜</t>
  </si>
  <si>
    <t>玉米濃湯  /  水果</t>
  </si>
  <si>
    <t>低脂絞肉(0.3K)</t>
  </si>
  <si>
    <t>刈包夾洋蔥肉片</t>
  </si>
  <si>
    <t>什錦炒米粉</t>
  </si>
  <si>
    <t>桂圓紅棗銀耳奶  /  水果</t>
  </si>
  <si>
    <t>低脂肉片0.6</t>
  </si>
  <si>
    <t>麻油赤肉麵線</t>
  </si>
  <si>
    <t>鮮筍肉包 / 優酪乳</t>
  </si>
  <si>
    <t>奇美鮮筍肉包cas</t>
  </si>
  <si>
    <t>【本校一律使用國產豬、牛肉食材】</t>
  </si>
  <si>
    <t>乾海帶芽600G</t>
  </si>
  <si>
    <t>洗選蛋(盒</t>
  </si>
  <si>
    <t>二砂1K(台糖</t>
  </si>
  <si>
    <t>乾豆捲</t>
  </si>
  <si>
    <t>鴻禧菇100G</t>
  </si>
  <si>
    <t>乾米粉250G</t>
  </si>
  <si>
    <t>清腿丁</t>
  </si>
  <si>
    <t>桂冠蛋餅皮7入</t>
  </si>
  <si>
    <t>刈包(巧好</t>
  </si>
  <si>
    <t>起司片12入</t>
  </si>
  <si>
    <t>火鍋肉片200G</t>
  </si>
  <si>
    <t>什錦炒米苔目</t>
  </si>
  <si>
    <t>米苔目</t>
  </si>
  <si>
    <t>白米2.4k</t>
  </si>
  <si>
    <t xml:space="preserve">吐司夾高麗菜蛋   </t>
  </si>
  <si>
    <t>低脂肉絲cas(1K)</t>
  </si>
  <si>
    <t>20g*40入/包</t>
  </si>
  <si>
    <t>小木耳</t>
  </si>
  <si>
    <t>茭白筍去殼</t>
  </si>
  <si>
    <t>青蔥</t>
  </si>
  <si>
    <t>紅蔥頭</t>
  </si>
  <si>
    <t>西芹</t>
  </si>
  <si>
    <t>香菇</t>
  </si>
  <si>
    <t>綠豆芽</t>
  </si>
  <si>
    <t>韭菜</t>
  </si>
  <si>
    <t>洋蔥</t>
  </si>
  <si>
    <t>紅豆地瓜圓牛奶</t>
  </si>
  <si>
    <t>紅豆</t>
  </si>
  <si>
    <t>水果拼盤 / 鮮奶</t>
  </si>
  <si>
    <t xml:space="preserve">水果優格 </t>
  </si>
  <si>
    <t>原味優格(福樂</t>
  </si>
  <si>
    <t>杯</t>
  </si>
  <si>
    <t>紅豆牛奶  / 水果</t>
  </si>
  <si>
    <t>蔥肉餡餅   /   米漿鮮奶</t>
  </si>
  <si>
    <t>蔥肉餡餅(桂冠)50入</t>
  </si>
  <si>
    <t>鮮菇瘦肉粥</t>
  </si>
  <si>
    <t>紅麵線</t>
  </si>
  <si>
    <t>蔥抓餅加蛋</t>
  </si>
  <si>
    <t>米漿1L</t>
  </si>
  <si>
    <t>低脂肉絲cas</t>
  </si>
  <si>
    <t>大滷麵</t>
  </si>
  <si>
    <t>鮮奶1L</t>
  </si>
  <si>
    <t>木耳</t>
  </si>
  <si>
    <t>低脂肉絲cas0.6</t>
  </si>
  <si>
    <t>真空綠竹筍</t>
  </si>
  <si>
    <t>小白油麵</t>
  </si>
  <si>
    <r>
      <t>紅蔥頭</t>
    </r>
  </si>
  <si>
    <t>木耳朵</t>
  </si>
  <si>
    <t>蒜泥</t>
  </si>
  <si>
    <t>中華豆腐</t>
  </si>
  <si>
    <t>赤肉麵線</t>
  </si>
  <si>
    <t>鴻禧菇</t>
  </si>
  <si>
    <t>養樂多9罐</t>
  </si>
  <si>
    <t>養樂多鮮奶1L2罐</t>
  </si>
  <si>
    <t>養樂多6罐</t>
  </si>
  <si>
    <t>養樂多5罐</t>
  </si>
  <si>
    <t>菜包    / 牛奶</t>
  </si>
  <si>
    <t>銀魚莧菜羹  /  水果</t>
  </si>
  <si>
    <t>桂冠肉包cas65G</t>
  </si>
  <si>
    <r>
      <t>統一</t>
    </r>
    <r>
      <rPr>
        <sz val="12"/>
        <color indexed="10"/>
        <rFont val="微軟正黑體"/>
        <family val="2"/>
      </rPr>
      <t>鮮奶1L</t>
    </r>
  </si>
  <si>
    <t>米漿(1L)</t>
  </si>
  <si>
    <t>蒜頭</t>
  </si>
  <si>
    <t>蒜頭蛤蠣雞湯麵</t>
  </si>
  <si>
    <t>小白拉麵</t>
  </si>
  <si>
    <t>蛤蠣</t>
  </si>
  <si>
    <t>雞腿丁</t>
  </si>
  <si>
    <t>統一優酪乳(約1公升)</t>
  </si>
  <si>
    <t>統一鮮奶(1L</t>
  </si>
  <si>
    <t>魷魚條</t>
  </si>
  <si>
    <t>洋芋</t>
  </si>
  <si>
    <t>蘿蔔糕炒蛋</t>
  </si>
  <si>
    <t>港式蘿蔔糕</t>
  </si>
  <si>
    <t>週幼兒園點心食譜設計表</t>
  </si>
  <si>
    <t>蔥肉餡餅   /   米漿鮮奶</t>
  </si>
  <si>
    <t>鮮菇瘦肉粥</t>
  </si>
  <si>
    <t>赤肉麵線</t>
  </si>
  <si>
    <t>南瓜濃湯</t>
  </si>
  <si>
    <t xml:space="preserve"> 僑愛國小幼兒園112年11月點心菜單</t>
  </si>
  <si>
    <t>蔥抓餅</t>
  </si>
  <si>
    <t xml:space="preserve">週一食材不用先送 </t>
  </si>
  <si>
    <t>週二~週五食材要先送</t>
  </si>
  <si>
    <t>魷魚麵線</t>
  </si>
  <si>
    <t>魷耳條cas</t>
  </si>
  <si>
    <t>皎白筍鮮魚粥</t>
  </si>
  <si>
    <t>鯛魚片</t>
  </si>
  <si>
    <t>光泉低糖豆漿1L</t>
  </si>
  <si>
    <t>桂冠小白饅頭</t>
  </si>
  <si>
    <t>饅頭夾蛋 / 鮮奶米漿</t>
  </si>
  <si>
    <t>銀魚蔬菜羹麵  /  水果</t>
  </si>
  <si>
    <t>虱目魚丸</t>
  </si>
  <si>
    <t>豆芽菜</t>
  </si>
  <si>
    <t>芹菜</t>
  </si>
  <si>
    <t>韭菜</t>
  </si>
  <si>
    <t>米粉虱目魚丸湯</t>
  </si>
  <si>
    <t>虱目魚丸要切</t>
  </si>
  <si>
    <t>湯餃</t>
  </si>
  <si>
    <t>什錦炒年糕</t>
  </si>
  <si>
    <t>寧波年糕</t>
  </si>
  <si>
    <t>香菇肉羹麵</t>
  </si>
  <si>
    <t>低脂肉絲cas1K</t>
  </si>
  <si>
    <t>肉絲抓粉煮</t>
  </si>
  <si>
    <t>粗米粉(380/包</t>
  </si>
  <si>
    <t>肉包    / 牛奶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</si>
</sst>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yyyy/mm/dd;@"/>
    <numFmt numFmtId="190" formatCode="yyyy/mm/dd"/>
    <numFmt numFmtId="191" formatCode="&quot;祥安國民小學105學年度下學期第&quot;#&quot;週午餐食譜設計表(葷)&quot;"/>
    <numFmt numFmtId="192" formatCode="#,###&quot;人&quot;"/>
    <numFmt numFmtId="193" formatCode="0.0_);[Red]\(0.0\)"/>
    <numFmt numFmtId="194" formatCode="#,###.0&quot;份&quot;"/>
    <numFmt numFmtId="195" formatCode="###&quot;大卡&quot;"/>
    <numFmt numFmtId="196" formatCode="#,###&quot;筆&quot;"/>
    <numFmt numFmtId="197" formatCode="#,###&quot;元&quot;"/>
    <numFmt numFmtId="198" formatCode="#,###&quot;個&quot;"/>
    <numFmt numFmtId="199" formatCode="&quot;人/&quot;#,##0.00&quot;元&quot;"/>
    <numFmt numFmtId="200" formatCode="&quot;平均成本人/&quot;#,##0.00&quot;元&quot;"/>
    <numFmt numFmtId="201" formatCode="&quot;僑愛國民小學附設幼稚園110學年度第一學期第&quot;#&quot;週食譜設計表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6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sz val="12"/>
      <color indexed="8"/>
      <name val="新細明體"/>
      <family val="1"/>
    </font>
    <font>
      <b/>
      <sz val="13"/>
      <name val="微軟正黑體"/>
      <family val="2"/>
    </font>
    <font>
      <sz val="11"/>
      <color indexed="8"/>
      <name val="新細明體"/>
      <family val="1"/>
    </font>
    <font>
      <sz val="12"/>
      <color indexed="8"/>
      <name val="Microsoft YaHei"/>
      <family val="2"/>
    </font>
    <font>
      <sz val="17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細明體"/>
      <family val="3"/>
    </font>
    <font>
      <sz val="16"/>
      <name val="細明體"/>
      <family val="3"/>
    </font>
    <font>
      <sz val="16"/>
      <name val="Tahoma"/>
      <family val="2"/>
    </font>
    <font>
      <sz val="17"/>
      <name val="微軟正黑體"/>
      <family val="2"/>
    </font>
    <font>
      <sz val="12"/>
      <color indexed="9"/>
      <name val="新細明體"/>
      <family val="1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2"/>
    </font>
    <font>
      <sz val="11"/>
      <color theme="1"/>
      <name val="Calibri"/>
      <family val="1"/>
    </font>
    <font>
      <sz val="11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2"/>
      <color rgb="FF0000FF"/>
      <name val="微軟正黑體"/>
      <family val="2"/>
    </font>
    <font>
      <b/>
      <sz val="12"/>
      <color rgb="FFFF0000"/>
      <name val="微軟正黑體"/>
      <family val="2"/>
    </font>
    <font>
      <sz val="10"/>
      <color rgb="FFFF0000"/>
      <name val="微軟正黑體"/>
      <family val="2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>
        <color indexed="59"/>
      </bottom>
    </border>
    <border>
      <left style="thin"/>
      <right/>
      <top style="thin">
        <color indexed="59"/>
      </top>
      <bottom style="thin">
        <color indexed="59"/>
      </bottom>
    </border>
    <border>
      <left style="thin"/>
      <right/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medium"/>
      <top style="medium"/>
      <bottom style="thin">
        <color indexed="59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59"/>
      </left>
      <right style="thin"/>
      <top style="medium"/>
      <bottom/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0" borderId="0">
      <alignment vertical="center"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43" fontId="1" fillId="0" borderId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1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55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" fillId="34" borderId="19" xfId="88" applyFont="1" applyFill="1" applyBorder="1" applyAlignment="1">
      <alignment horizontal="center" vertical="center"/>
      <protection/>
    </xf>
    <xf numFmtId="0" fontId="7" fillId="0" borderId="19" xfId="88" applyFont="1" applyFill="1" applyBorder="1" applyAlignment="1">
      <alignment horizontal="center" vertical="center"/>
      <protection/>
    </xf>
    <xf numFmtId="0" fontId="77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88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88" applyFont="1" applyFill="1" applyBorder="1" applyAlignment="1">
      <alignment horizontal="center" vertical="center"/>
      <protection/>
    </xf>
    <xf numFmtId="0" fontId="7" fillId="34" borderId="19" xfId="85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89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90" applyFont="1" applyFill="1" applyBorder="1" applyAlignment="1">
      <alignment horizontal="center" vertical="center" wrapText="1"/>
      <protection/>
    </xf>
    <xf numFmtId="0" fontId="15" fillId="0" borderId="0" xfId="90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19" xfId="89" applyFont="1" applyFill="1" applyBorder="1" applyAlignment="1">
      <alignment horizontal="center" vertical="center"/>
      <protection/>
    </xf>
    <xf numFmtId="0" fontId="20" fillId="6" borderId="27" xfId="56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56" applyFont="1" applyFill="1" applyBorder="1" applyAlignment="1">
      <alignment horizontal="center" vertical="center"/>
      <protection/>
    </xf>
    <xf numFmtId="0" fontId="80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0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56" applyFont="1" applyFill="1" applyBorder="1" applyAlignment="1">
      <alignment horizontal="center" vertical="center"/>
      <protection/>
    </xf>
    <xf numFmtId="0" fontId="22" fillId="6" borderId="28" xfId="56" applyFont="1" applyFill="1" applyBorder="1" applyAlignment="1">
      <alignment horizontal="center" vertical="center"/>
      <protection/>
    </xf>
    <xf numFmtId="0" fontId="81" fillId="6" borderId="30" xfId="56" applyFont="1" applyFill="1" applyBorder="1" applyAlignment="1">
      <alignment horizontal="center" vertical="center"/>
      <protection/>
    </xf>
    <xf numFmtId="0" fontId="21" fillId="6" borderId="33" xfId="56" applyFont="1" applyFill="1" applyBorder="1" applyAlignment="1">
      <alignment horizontal="center" vertical="center"/>
      <protection/>
    </xf>
    <xf numFmtId="0" fontId="80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0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7" fillId="34" borderId="21" xfId="93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78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7" fillId="34" borderId="21" xfId="95" applyFont="1" applyFill="1" applyBorder="1" applyAlignment="1">
      <alignment horizontal="center" vertical="center"/>
      <protection/>
    </xf>
    <xf numFmtId="0" fontId="13" fillId="0" borderId="48" xfId="0" applyFont="1" applyFill="1" applyBorder="1" applyAlignment="1">
      <alignment horizontal="center" vertical="center"/>
    </xf>
    <xf numFmtId="0" fontId="7" fillId="34" borderId="25" xfId="95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79" fillId="34" borderId="25" xfId="0" applyFont="1" applyFill="1" applyBorder="1" applyAlignment="1">
      <alignment horizontal="center" vertical="center"/>
    </xf>
    <xf numFmtId="0" fontId="79" fillId="34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10" fillId="0" borderId="19" xfId="88" applyFont="1" applyFill="1" applyBorder="1" applyAlignment="1">
      <alignment horizontal="center" vertical="center"/>
      <protection/>
    </xf>
    <xf numFmtId="0" fontId="7" fillId="0" borderId="21" xfId="95" applyFont="1" applyFill="1" applyBorder="1" applyAlignment="1">
      <alignment horizontal="center" vertical="center"/>
      <protection/>
    </xf>
    <xf numFmtId="0" fontId="13" fillId="0" borderId="21" xfId="0" applyNumberFormat="1" applyFont="1" applyFill="1" applyBorder="1" applyAlignment="1">
      <alignment horizontal="center" vertical="center"/>
    </xf>
    <xf numFmtId="0" fontId="7" fillId="0" borderId="43" xfId="95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0" fillId="6" borderId="50" xfId="56" applyFont="1" applyFill="1" applyBorder="1" applyAlignment="1">
      <alignment horizontal="center" vertical="center"/>
      <protection/>
    </xf>
    <xf numFmtId="0" fontId="20" fillId="6" borderId="51" xfId="56" applyFont="1" applyFill="1" applyBorder="1" applyAlignment="1">
      <alignment horizontal="center" vertical="center"/>
      <protection/>
    </xf>
    <xf numFmtId="0" fontId="21" fillId="6" borderId="51" xfId="56" applyFont="1" applyFill="1" applyBorder="1" applyAlignment="1">
      <alignment horizontal="center" vertical="center"/>
      <protection/>
    </xf>
    <xf numFmtId="0" fontId="22" fillId="6" borderId="51" xfId="56" applyFont="1" applyFill="1" applyBorder="1" applyAlignment="1">
      <alignment horizontal="center" vertical="center"/>
      <protection/>
    </xf>
    <xf numFmtId="0" fontId="21" fillId="6" borderId="52" xfId="56" applyFont="1" applyFill="1" applyBorder="1" applyAlignment="1">
      <alignment horizontal="center" vertical="center"/>
      <protection/>
    </xf>
    <xf numFmtId="0" fontId="7" fillId="0" borderId="19" xfId="93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 wrapText="1"/>
    </xf>
    <xf numFmtId="0" fontId="7" fillId="6" borderId="58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7" fillId="34" borderId="19" xfId="93" applyFont="1" applyFill="1" applyBorder="1" applyAlignment="1">
      <alignment horizontal="center" vertical="center" wrapText="1"/>
      <protection/>
    </xf>
    <xf numFmtId="0" fontId="7" fillId="34" borderId="19" xfId="93" applyFont="1" applyFill="1" applyBorder="1" applyAlignment="1">
      <alignment horizontal="center" vertical="center"/>
      <protection/>
    </xf>
    <xf numFmtId="0" fontId="15" fillId="0" borderId="19" xfId="85" applyFont="1" applyFill="1" applyBorder="1" applyAlignment="1">
      <alignment horizontal="center" vertical="center"/>
      <protection/>
    </xf>
    <xf numFmtId="0" fontId="7" fillId="0" borderId="57" xfId="89" applyFont="1" applyFill="1" applyBorder="1" applyAlignment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5" fillId="0" borderId="19" xfId="93" applyFont="1" applyFill="1" applyBorder="1" applyAlignment="1">
      <alignment horizontal="center" vertical="center"/>
      <protection/>
    </xf>
    <xf numFmtId="0" fontId="13" fillId="0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80" fillId="6" borderId="0" xfId="0" applyFont="1" applyFill="1" applyBorder="1" applyAlignment="1">
      <alignment horizontal="center" vertical="center"/>
    </xf>
    <xf numFmtId="0" fontId="80" fillId="6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center" vertical="center"/>
    </xf>
    <xf numFmtId="0" fontId="7" fillId="33" borderId="21" xfId="85" applyFont="1" applyFill="1" applyBorder="1" applyAlignment="1">
      <alignment horizontal="center" vertical="center"/>
      <protection/>
    </xf>
    <xf numFmtId="0" fontId="8" fillId="34" borderId="21" xfId="0" applyFont="1" applyFill="1" applyBorder="1" applyAlignment="1">
      <alignment horizontal="center" vertical="center"/>
    </xf>
    <xf numFmtId="0" fontId="7" fillId="34" borderId="66" xfId="85" applyFont="1" applyFill="1" applyBorder="1" applyAlignment="1">
      <alignment horizontal="center" vertical="center"/>
      <protection/>
    </xf>
    <xf numFmtId="0" fontId="7" fillId="34" borderId="4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79" fillId="0" borderId="21" xfId="85" applyFont="1" applyFill="1" applyBorder="1" applyAlignment="1">
      <alignment horizontal="center" vertical="center"/>
      <protection/>
    </xf>
    <xf numFmtId="0" fontId="20" fillId="6" borderId="67" xfId="56" applyFont="1" applyFill="1" applyBorder="1" applyAlignment="1">
      <alignment horizontal="center" vertical="center"/>
      <protection/>
    </xf>
    <xf numFmtId="0" fontId="20" fillId="6" borderId="68" xfId="56" applyFont="1" applyFill="1" applyBorder="1" applyAlignment="1">
      <alignment horizontal="center" vertical="center"/>
      <protection/>
    </xf>
    <xf numFmtId="0" fontId="21" fillId="6" borderId="68" xfId="56" applyFont="1" applyFill="1" applyBorder="1" applyAlignment="1">
      <alignment horizontal="center" vertical="center"/>
      <protection/>
    </xf>
    <xf numFmtId="0" fontId="22" fillId="6" borderId="68" xfId="56" applyFont="1" applyFill="1" applyBorder="1" applyAlignment="1">
      <alignment horizontal="center" vertical="center"/>
      <protection/>
    </xf>
    <xf numFmtId="0" fontId="21" fillId="6" borderId="69" xfId="56" applyFont="1" applyFill="1" applyBorder="1" applyAlignment="1">
      <alignment horizontal="center" vertical="center"/>
      <protection/>
    </xf>
    <xf numFmtId="0" fontId="79" fillId="34" borderId="66" xfId="85" applyFont="1" applyFill="1" applyBorder="1" applyAlignment="1">
      <alignment horizontal="center" vertical="center"/>
      <protection/>
    </xf>
    <xf numFmtId="0" fontId="8" fillId="0" borderId="40" xfId="0" applyFont="1" applyFill="1" applyBorder="1" applyAlignment="1">
      <alignment vertical="center"/>
    </xf>
    <xf numFmtId="0" fontId="30" fillId="35" borderId="12" xfId="46" applyFont="1" applyFill="1" applyBorder="1" applyAlignment="1">
      <alignment horizontal="center" vertical="center" shrinkToFit="1"/>
      <protection/>
    </xf>
    <xf numFmtId="0" fontId="8" fillId="6" borderId="70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183" fontId="8" fillId="0" borderId="60" xfId="0" applyNumberFormat="1" applyFont="1" applyBorder="1" applyAlignment="1">
      <alignment horizontal="center" vertical="center" wrapText="1"/>
    </xf>
    <xf numFmtId="183" fontId="8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177" fontId="8" fillId="0" borderId="41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12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7" fontId="12" fillId="0" borderId="21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9" fontId="12" fillId="0" borderId="21" xfId="0" applyNumberFormat="1" applyFont="1" applyBorder="1" applyAlignment="1">
      <alignment vertical="center"/>
    </xf>
    <xf numFmtId="179" fontId="8" fillId="0" borderId="21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33" borderId="21" xfId="93" applyFont="1" applyFill="1" applyBorder="1" applyAlignment="1">
      <alignment horizontal="center" vertical="center"/>
      <protection/>
    </xf>
    <xf numFmtId="0" fontId="13" fillId="33" borderId="4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4" borderId="57" xfId="85" applyFont="1" applyFill="1" applyBorder="1" applyAlignment="1">
      <alignment horizontal="center" vertical="center"/>
      <protection/>
    </xf>
    <xf numFmtId="0" fontId="7" fillId="0" borderId="53" xfId="0" applyFont="1" applyBorder="1" applyAlignment="1">
      <alignment horizontal="center" vertical="center"/>
    </xf>
    <xf numFmtId="0" fontId="20" fillId="34" borderId="21" xfId="88" applyFont="1" applyFill="1" applyBorder="1" applyAlignment="1">
      <alignment horizontal="center" vertical="center"/>
      <protection/>
    </xf>
    <xf numFmtId="0" fontId="7" fillId="34" borderId="21" xfId="88" applyFont="1" applyFill="1" applyBorder="1" applyAlignment="1">
      <alignment horizontal="center" vertical="center"/>
      <protection/>
    </xf>
    <xf numFmtId="0" fontId="13" fillId="34" borderId="48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33" borderId="46" xfId="0" applyFont="1" applyFill="1" applyBorder="1" applyAlignment="1">
      <alignment horizontal="center" vertical="center" shrinkToFit="1"/>
    </xf>
    <xf numFmtId="0" fontId="7" fillId="0" borderId="19" xfId="88" applyFont="1" applyBorder="1" applyAlignment="1">
      <alignment horizontal="center" vertical="center"/>
      <protection/>
    </xf>
    <xf numFmtId="0" fontId="7" fillId="0" borderId="19" xfId="89" applyFont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" fillId="0" borderId="21" xfId="85" applyFont="1" applyBorder="1" applyAlignment="1">
      <alignment horizontal="center" vertical="center"/>
      <protection/>
    </xf>
    <xf numFmtId="0" fontId="79" fillId="0" borderId="21" xfId="85" applyFont="1" applyBorder="1" applyAlignment="1">
      <alignment horizontal="center" vertical="center"/>
      <protection/>
    </xf>
    <xf numFmtId="0" fontId="7" fillId="0" borderId="4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7" fillId="34" borderId="54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90" applyFont="1" applyAlignment="1">
      <alignment horizontal="center" vertical="center" wrapText="1"/>
      <protection/>
    </xf>
    <xf numFmtId="0" fontId="15" fillId="0" borderId="0" xfId="90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7" borderId="48" xfId="0" applyFont="1" applyFill="1" applyBorder="1" applyAlignment="1">
      <alignment vertical="center"/>
    </xf>
    <xf numFmtId="0" fontId="10" fillId="34" borderId="41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vertical="center"/>
    </xf>
    <xf numFmtId="0" fontId="13" fillId="7" borderId="4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7" fillId="0" borderId="26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7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 shrinkToFit="1"/>
    </xf>
    <xf numFmtId="0" fontId="7" fillId="34" borderId="54" xfId="0" applyFont="1" applyFill="1" applyBorder="1" applyAlignment="1">
      <alignment horizontal="center" vertical="center"/>
    </xf>
    <xf numFmtId="0" fontId="10" fillId="15" borderId="2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180" fontId="12" fillId="0" borderId="21" xfId="0" applyNumberFormat="1" applyFont="1" applyBorder="1" applyAlignment="1">
      <alignment vertical="center"/>
    </xf>
    <xf numFmtId="0" fontId="7" fillId="34" borderId="74" xfId="0" applyFont="1" applyFill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79" fillId="34" borderId="55" xfId="0" applyFont="1" applyFill="1" applyBorder="1" applyAlignment="1">
      <alignment horizontal="center" vertical="center"/>
    </xf>
    <xf numFmtId="0" fontId="79" fillId="34" borderId="56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6" fillId="35" borderId="12" xfId="46" applyFont="1" applyFill="1" applyBorder="1" applyAlignment="1">
      <alignment horizontal="center" vertical="center" shrinkToFit="1"/>
      <protection/>
    </xf>
    <xf numFmtId="0" fontId="82" fillId="0" borderId="12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35" borderId="44" xfId="46" applyFont="1" applyFill="1" applyBorder="1" applyAlignment="1">
      <alignment horizontal="center" vertical="center" shrinkToFit="1"/>
      <protection/>
    </xf>
    <xf numFmtId="0" fontId="7" fillId="35" borderId="44" xfId="46" applyFont="1" applyFill="1" applyBorder="1" applyAlignment="1">
      <alignment horizontal="center" vertical="center" shrinkToFit="1"/>
      <protection/>
    </xf>
    <xf numFmtId="0" fontId="82" fillId="35" borderId="12" xfId="46" applyFont="1" applyFill="1" applyBorder="1" applyAlignment="1">
      <alignment horizontal="center" vertical="center" shrinkToFit="1"/>
      <protection/>
    </xf>
    <xf numFmtId="0" fontId="82" fillId="0" borderId="61" xfId="0" applyFont="1" applyFill="1" applyBorder="1" applyAlignment="1">
      <alignment horizontal="center" vertical="center"/>
    </xf>
    <xf numFmtId="0" fontId="82" fillId="7" borderId="21" xfId="0" applyFont="1" applyFill="1" applyBorder="1" applyAlignment="1">
      <alignment vertical="center"/>
    </xf>
    <xf numFmtId="0" fontId="82" fillId="15" borderId="61" xfId="0" applyFont="1" applyFill="1" applyBorder="1" applyAlignment="1">
      <alignment horizontal="center" vertical="center"/>
    </xf>
    <xf numFmtId="0" fontId="82" fillId="0" borderId="6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76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77" xfId="0" applyFont="1" applyFill="1" applyBorder="1" applyAlignment="1">
      <alignment horizontal="center" vertical="center"/>
    </xf>
    <xf numFmtId="0" fontId="8" fillId="6" borderId="78" xfId="0" applyFont="1" applyFill="1" applyBorder="1" applyAlignment="1">
      <alignment horizontal="center" vertical="center"/>
    </xf>
    <xf numFmtId="0" fontId="7" fillId="7" borderId="79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80" xfId="0" applyFont="1" applyFill="1" applyBorder="1" applyAlignment="1">
      <alignment horizontal="center" vertical="center" wrapText="1"/>
    </xf>
    <xf numFmtId="0" fontId="7" fillId="0" borderId="81" xfId="90" applyFont="1" applyBorder="1" applyAlignment="1">
      <alignment horizontal="center" vertical="center" wrapText="1"/>
      <protection/>
    </xf>
    <xf numFmtId="0" fontId="7" fillId="0" borderId="82" xfId="90" applyFont="1" applyBorder="1" applyAlignment="1">
      <alignment horizontal="center" vertical="center" wrapText="1"/>
      <protection/>
    </xf>
    <xf numFmtId="0" fontId="7" fillId="0" borderId="83" xfId="90" applyFont="1" applyBorder="1" applyAlignment="1">
      <alignment horizontal="center" vertical="center" wrapText="1"/>
      <protection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87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8" fillId="6" borderId="8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255"/>
    </xf>
    <xf numFmtId="177" fontId="8" fillId="0" borderId="24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255"/>
    </xf>
    <xf numFmtId="178" fontId="8" fillId="0" borderId="8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80" fontId="8" fillId="0" borderId="23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9" fontId="83" fillId="0" borderId="23" xfId="0" applyNumberFormat="1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182" fontId="7" fillId="0" borderId="0" xfId="0" applyNumberFormat="1" applyFont="1" applyAlignment="1">
      <alignment horizontal="left" vertical="center"/>
    </xf>
    <xf numFmtId="0" fontId="7" fillId="6" borderId="92" xfId="0" applyFont="1" applyFill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center" vertical="center" wrapText="1"/>
    </xf>
    <xf numFmtId="0" fontId="7" fillId="6" borderId="94" xfId="0" applyFont="1" applyFill="1" applyBorder="1" applyAlignment="1">
      <alignment horizontal="center" vertical="center" wrapText="1"/>
    </xf>
    <xf numFmtId="0" fontId="12" fillId="6" borderId="95" xfId="0" applyFont="1" applyFill="1" applyBorder="1" applyAlignment="1">
      <alignment horizontal="center" vertical="center"/>
    </xf>
    <xf numFmtId="0" fontId="7" fillId="6" borderId="95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vertical="center" wrapText="1"/>
    </xf>
    <xf numFmtId="0" fontId="7" fillId="6" borderId="97" xfId="0" applyFont="1" applyFill="1" applyBorder="1" applyAlignment="1">
      <alignment horizontal="center" vertical="center" wrapText="1"/>
    </xf>
    <xf numFmtId="0" fontId="7" fillId="6" borderId="98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7" fillId="6" borderId="10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6" borderId="101" xfId="0" applyFont="1" applyFill="1" applyBorder="1" applyAlignment="1">
      <alignment horizontal="center" vertical="center"/>
    </xf>
    <xf numFmtId="0" fontId="7" fillId="6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7" fillId="6" borderId="104" xfId="0" applyFont="1" applyFill="1" applyBorder="1" applyAlignment="1">
      <alignment horizontal="center" vertical="center" wrapText="1"/>
    </xf>
    <xf numFmtId="0" fontId="79" fillId="0" borderId="60" xfId="90" applyFont="1" applyBorder="1" applyAlignment="1">
      <alignment horizontal="center" vertical="center" wrapText="1"/>
      <protection/>
    </xf>
    <xf numFmtId="0" fontId="79" fillId="0" borderId="12" xfId="90" applyFont="1" applyBorder="1" applyAlignment="1">
      <alignment horizontal="center" vertical="center" wrapText="1"/>
      <protection/>
    </xf>
    <xf numFmtId="0" fontId="79" fillId="0" borderId="14" xfId="90" applyFont="1" applyBorder="1" applyAlignment="1">
      <alignment horizontal="center" vertical="center" wrapText="1"/>
      <protection/>
    </xf>
    <xf numFmtId="0" fontId="9" fillId="0" borderId="40" xfId="0" applyFont="1" applyBorder="1" applyAlignment="1">
      <alignment horizontal="right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/>
    </xf>
    <xf numFmtId="0" fontId="6" fillId="36" borderId="74" xfId="0" applyFont="1" applyFill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70" xfId="0" applyFont="1" applyBorder="1" applyAlignment="1">
      <alignment horizontal="center" vertical="center"/>
    </xf>
    <xf numFmtId="0" fontId="7" fillId="0" borderId="84" xfId="90" applyFont="1" applyBorder="1" applyAlignment="1">
      <alignment horizontal="center" vertical="center" wrapText="1"/>
      <protection/>
    </xf>
    <xf numFmtId="0" fontId="7" fillId="0" borderId="85" xfId="90" applyFont="1" applyBorder="1" applyAlignment="1">
      <alignment horizontal="center" vertical="center" wrapText="1"/>
      <protection/>
    </xf>
    <xf numFmtId="0" fontId="7" fillId="0" borderId="60" xfId="90" applyFont="1" applyBorder="1" applyAlignment="1">
      <alignment horizontal="center" vertical="center" wrapText="1"/>
      <protection/>
    </xf>
    <xf numFmtId="0" fontId="7" fillId="6" borderId="105" xfId="0" applyFont="1" applyFill="1" applyBorder="1" applyAlignment="1">
      <alignment horizontal="center" vertical="center" wrapText="1"/>
    </xf>
    <xf numFmtId="0" fontId="7" fillId="6" borderId="106" xfId="0" applyFont="1" applyFill="1" applyBorder="1" applyAlignment="1">
      <alignment horizontal="center" vertical="center" wrapText="1"/>
    </xf>
    <xf numFmtId="0" fontId="7" fillId="6" borderId="10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2" fillId="6" borderId="108" xfId="0" applyFont="1" applyFill="1" applyBorder="1" applyAlignment="1">
      <alignment horizontal="center" vertical="center"/>
    </xf>
    <xf numFmtId="0" fontId="12" fillId="6" borderId="109" xfId="0" applyFont="1" applyFill="1" applyBorder="1" applyAlignment="1">
      <alignment horizontal="center" vertical="center"/>
    </xf>
    <xf numFmtId="0" fontId="7" fillId="6" borderId="110" xfId="0" applyFont="1" applyFill="1" applyBorder="1" applyAlignment="1">
      <alignment horizontal="center" vertical="center" wrapText="1"/>
    </xf>
    <xf numFmtId="0" fontId="7" fillId="6" borderId="111" xfId="0" applyFont="1" applyFill="1" applyBorder="1" applyAlignment="1">
      <alignment horizontal="center" vertical="center" wrapText="1"/>
    </xf>
    <xf numFmtId="0" fontId="7" fillId="6" borderId="112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 horizontal="left" vertical="center"/>
    </xf>
    <xf numFmtId="0" fontId="7" fillId="34" borderId="84" xfId="0" applyFont="1" applyFill="1" applyBorder="1" applyAlignment="1">
      <alignment horizontal="center" vertical="center" wrapText="1"/>
    </xf>
    <xf numFmtId="0" fontId="7" fillId="34" borderId="85" xfId="0" applyFont="1" applyFill="1" applyBorder="1" applyAlignment="1">
      <alignment horizontal="center" vertical="center" wrapText="1"/>
    </xf>
    <xf numFmtId="0" fontId="7" fillId="0" borderId="84" xfId="90" applyFont="1" applyFill="1" applyBorder="1" applyAlignment="1">
      <alignment horizontal="center" vertical="center" wrapText="1"/>
      <protection/>
    </xf>
    <xf numFmtId="0" fontId="7" fillId="0" borderId="85" xfId="90" applyFont="1" applyFill="1" applyBorder="1" applyAlignment="1">
      <alignment horizontal="center" vertical="center" wrapText="1"/>
      <protection/>
    </xf>
    <xf numFmtId="0" fontId="7" fillId="7" borderId="113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textRotation="255"/>
    </xf>
    <xf numFmtId="176" fontId="8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 wrapText="1"/>
    </xf>
    <xf numFmtId="0" fontId="7" fillId="34" borderId="84" xfId="90" applyFont="1" applyFill="1" applyBorder="1" applyAlignment="1">
      <alignment horizontal="center" vertical="center" wrapText="1"/>
      <protection/>
    </xf>
    <xf numFmtId="0" fontId="7" fillId="34" borderId="85" xfId="90" applyFont="1" applyFill="1" applyBorder="1" applyAlignment="1">
      <alignment horizontal="center" vertical="center" wrapText="1"/>
      <protection/>
    </xf>
    <xf numFmtId="0" fontId="7" fillId="34" borderId="86" xfId="90" applyFont="1" applyFill="1" applyBorder="1" applyAlignment="1">
      <alignment horizontal="center" vertical="center" wrapText="1"/>
      <protection/>
    </xf>
    <xf numFmtId="179" fontId="8" fillId="0" borderId="23" xfId="0" applyNumberFormat="1" applyFont="1" applyFill="1" applyBorder="1" applyAlignment="1">
      <alignment horizontal="center" vertical="center"/>
    </xf>
    <xf numFmtId="0" fontId="12" fillId="6" borderId="115" xfId="0" applyFont="1" applyFill="1" applyBorder="1" applyAlignment="1">
      <alignment horizontal="center" vertical="center"/>
    </xf>
    <xf numFmtId="0" fontId="12" fillId="6" borderId="116" xfId="0" applyFont="1" applyFill="1" applyBorder="1" applyAlignment="1">
      <alignment horizontal="center" vertical="center"/>
    </xf>
    <xf numFmtId="0" fontId="7" fillId="0" borderId="81" xfId="90" applyFont="1" applyFill="1" applyBorder="1" applyAlignment="1">
      <alignment horizontal="center" vertical="center" wrapText="1"/>
      <protection/>
    </xf>
    <xf numFmtId="0" fontId="7" fillId="0" borderId="82" xfId="90" applyFont="1" applyFill="1" applyBorder="1" applyAlignment="1">
      <alignment horizontal="center" vertical="center" wrapText="1"/>
      <protection/>
    </xf>
    <xf numFmtId="0" fontId="79" fillId="0" borderId="60" xfId="90" applyFont="1" applyFill="1" applyBorder="1" applyAlignment="1">
      <alignment horizontal="center" vertical="center" wrapText="1"/>
      <protection/>
    </xf>
    <xf numFmtId="0" fontId="79" fillId="0" borderId="12" xfId="90" applyFont="1" applyFill="1" applyBorder="1" applyAlignment="1">
      <alignment horizontal="center" vertical="center" wrapText="1"/>
      <protection/>
    </xf>
    <xf numFmtId="0" fontId="7" fillId="0" borderId="86" xfId="0" applyFont="1" applyFill="1" applyBorder="1" applyAlignment="1">
      <alignment horizontal="center" vertical="center" wrapText="1"/>
    </xf>
    <xf numFmtId="0" fontId="20" fillId="0" borderId="60" xfId="90" applyFont="1" applyFill="1" applyBorder="1" applyAlignment="1">
      <alignment horizontal="center" vertical="center" wrapText="1"/>
      <protection/>
    </xf>
    <xf numFmtId="0" fontId="20" fillId="0" borderId="12" xfId="90" applyFont="1" applyFill="1" applyBorder="1" applyAlignment="1">
      <alignment horizontal="center" vertical="center" wrapText="1"/>
      <protection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5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center" vertical="center"/>
    </xf>
    <xf numFmtId="0" fontId="84" fillId="34" borderId="35" xfId="0" applyFont="1" applyFill="1" applyBorder="1" applyAlignment="1">
      <alignment horizontal="center" vertical="center" wrapText="1"/>
    </xf>
    <xf numFmtId="0" fontId="84" fillId="34" borderId="71" xfId="0" applyFont="1" applyFill="1" applyBorder="1" applyAlignment="1">
      <alignment horizontal="center" vertical="center" wrapText="1"/>
    </xf>
    <xf numFmtId="0" fontId="7" fillId="34" borderId="117" xfId="0" applyFont="1" applyFill="1" applyBorder="1" applyAlignment="1">
      <alignment horizontal="center" vertical="center" wrapText="1"/>
    </xf>
    <xf numFmtId="0" fontId="7" fillId="34" borderId="82" xfId="0" applyFont="1" applyFill="1" applyBorder="1" applyAlignment="1">
      <alignment horizontal="center" vertical="center" wrapText="1"/>
    </xf>
    <xf numFmtId="0" fontId="7" fillId="34" borderId="11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textRotation="255"/>
    </xf>
    <xf numFmtId="177" fontId="8" fillId="0" borderId="89" xfId="0" applyNumberFormat="1" applyFont="1" applyFill="1" applyBorder="1" applyAlignment="1">
      <alignment horizontal="center" vertical="center"/>
    </xf>
    <xf numFmtId="178" fontId="8" fillId="0" borderId="89" xfId="0" applyNumberFormat="1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120" xfId="0" applyFont="1" applyFill="1" applyBorder="1" applyAlignment="1">
      <alignment horizontal="center" vertical="center" textRotation="255"/>
    </xf>
    <xf numFmtId="179" fontId="8" fillId="0" borderId="8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80" fontId="8" fillId="0" borderId="89" xfId="0" applyNumberFormat="1" applyFont="1" applyFill="1" applyBorder="1" applyAlignment="1">
      <alignment horizontal="center" vertical="center"/>
    </xf>
    <xf numFmtId="180" fontId="8" fillId="0" borderId="121" xfId="0" applyNumberFormat="1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7" fillId="0" borderId="12" xfId="90" applyFont="1" applyFill="1" applyBorder="1" applyAlignment="1">
      <alignment horizontal="center" vertical="center" wrapText="1"/>
      <protection/>
    </xf>
    <xf numFmtId="0" fontId="7" fillId="0" borderId="11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7" borderId="123" xfId="0" applyFont="1" applyFill="1" applyBorder="1" applyAlignment="1">
      <alignment horizontal="center" vertical="center" wrapText="1"/>
    </xf>
    <xf numFmtId="0" fontId="7" fillId="7" borderId="124" xfId="0" applyFont="1" applyFill="1" applyBorder="1" applyAlignment="1">
      <alignment horizontal="center" vertical="center" wrapText="1"/>
    </xf>
    <xf numFmtId="0" fontId="7" fillId="7" borderId="125" xfId="0" applyFont="1" applyFill="1" applyBorder="1" applyAlignment="1">
      <alignment horizontal="center" vertical="center" wrapText="1"/>
    </xf>
    <xf numFmtId="0" fontId="7" fillId="7" borderId="126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176" fontId="8" fillId="0" borderId="89" xfId="0" applyNumberFormat="1" applyFont="1" applyFill="1" applyBorder="1" applyAlignment="1">
      <alignment horizontal="center" vertical="center"/>
    </xf>
    <xf numFmtId="0" fontId="7" fillId="0" borderId="66" xfId="89" applyFont="1" applyFill="1" applyBorder="1" applyAlignment="1">
      <alignment horizontal="center" vertical="center"/>
      <protection/>
    </xf>
    <xf numFmtId="0" fontId="7" fillId="0" borderId="46" xfId="89" applyFont="1" applyFill="1" applyBorder="1" applyAlignment="1">
      <alignment horizontal="center" vertical="center"/>
      <protection/>
    </xf>
    <xf numFmtId="0" fontId="7" fillId="0" borderId="74" xfId="89" applyFont="1" applyFill="1" applyBorder="1" applyAlignment="1">
      <alignment horizontal="center" vertical="center"/>
      <protection/>
    </xf>
    <xf numFmtId="0" fontId="79" fillId="0" borderId="66" xfId="0" applyFont="1" applyFill="1" applyBorder="1" applyAlignment="1">
      <alignment horizontal="center" vertical="center" wrapText="1"/>
    </xf>
    <xf numFmtId="0" fontId="79" fillId="0" borderId="46" xfId="0" applyFont="1" applyFill="1" applyBorder="1" applyAlignment="1">
      <alignment horizontal="center" vertical="center" wrapText="1"/>
    </xf>
    <xf numFmtId="0" fontId="79" fillId="0" borderId="1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7" fillId="0" borderId="128" xfId="90" applyFont="1" applyFill="1" applyBorder="1" applyAlignment="1">
      <alignment horizontal="center" vertical="center" wrapText="1"/>
      <protection/>
    </xf>
    <xf numFmtId="0" fontId="7" fillId="7" borderId="120" xfId="0" applyFont="1" applyFill="1" applyBorder="1" applyAlignment="1">
      <alignment horizontal="center" vertical="center" wrapText="1"/>
    </xf>
    <xf numFmtId="180" fontId="8" fillId="0" borderId="6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/>
    </xf>
    <xf numFmtId="176" fontId="8" fillId="34" borderId="23" xfId="0" applyNumberFormat="1" applyFont="1" applyFill="1" applyBorder="1" applyAlignment="1">
      <alignment horizontal="center" vertical="center"/>
    </xf>
    <xf numFmtId="0" fontId="79" fillId="0" borderId="84" xfId="90" applyFont="1" applyFill="1" applyBorder="1" applyAlignment="1">
      <alignment horizontal="center" vertical="center" wrapText="1"/>
      <protection/>
    </xf>
    <xf numFmtId="0" fontId="79" fillId="0" borderId="85" xfId="90" applyFont="1" applyFill="1" applyBorder="1" applyAlignment="1">
      <alignment horizontal="center" vertical="center" wrapText="1"/>
      <protection/>
    </xf>
    <xf numFmtId="0" fontId="79" fillId="34" borderId="120" xfId="0" applyFont="1" applyFill="1" applyBorder="1" applyAlignment="1">
      <alignment horizontal="center" vertical="center" wrapText="1"/>
    </xf>
    <xf numFmtId="0" fontId="79" fillId="34" borderId="129" xfId="0" applyFont="1" applyFill="1" applyBorder="1" applyAlignment="1">
      <alignment horizontal="center" vertical="center" wrapText="1"/>
    </xf>
    <xf numFmtId="0" fontId="79" fillId="34" borderId="130" xfId="0" applyFont="1" applyFill="1" applyBorder="1" applyAlignment="1">
      <alignment horizontal="center" vertical="center" wrapText="1"/>
    </xf>
    <xf numFmtId="0" fontId="7" fillId="0" borderId="30" xfId="88" applyFont="1" applyFill="1" applyBorder="1" applyAlignment="1">
      <alignment horizontal="center" vertical="center"/>
      <protection/>
    </xf>
    <xf numFmtId="0" fontId="7" fillId="0" borderId="0" xfId="88" applyFont="1" applyFill="1" applyBorder="1" applyAlignment="1">
      <alignment horizontal="center" vertical="center"/>
      <protection/>
    </xf>
    <xf numFmtId="0" fontId="7" fillId="0" borderId="70" xfId="88" applyFont="1" applyFill="1" applyBorder="1" applyAlignment="1">
      <alignment horizontal="center" vertical="center"/>
      <protection/>
    </xf>
    <xf numFmtId="0" fontId="7" fillId="0" borderId="131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1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34" xfId="0" applyFont="1" applyBorder="1" applyAlignment="1">
      <alignment horizontal="left" vertical="center"/>
    </xf>
  </cellXfs>
  <cellStyles count="12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1" xfId="35"/>
    <cellStyle name="一般 2" xfId="36"/>
    <cellStyle name="一般 2 2" xfId="37"/>
    <cellStyle name="一般 2 2 2" xfId="38"/>
    <cellStyle name="一般 2 2 2 2" xfId="39"/>
    <cellStyle name="一般 2 2 2 3" xfId="40"/>
    <cellStyle name="一般 2 2 2 4" xfId="41"/>
    <cellStyle name="一般 2 2 3" xfId="42"/>
    <cellStyle name="一般 2 2 3 2" xfId="43"/>
    <cellStyle name="一般 2 2 4" xfId="44"/>
    <cellStyle name="一般 2 3" xfId="45"/>
    <cellStyle name="一般 2 4" xfId="46"/>
    <cellStyle name="一般 2 9" xfId="47"/>
    <cellStyle name="一般 3" xfId="48"/>
    <cellStyle name="一般 3 2" xfId="49"/>
    <cellStyle name="一般 3 2 2" xfId="50"/>
    <cellStyle name="一般 3 2 3" xfId="51"/>
    <cellStyle name="一般 3 2 3 2" xfId="52"/>
    <cellStyle name="一般 3 2 4" xfId="53"/>
    <cellStyle name="一般 3 2 4 2" xfId="54"/>
    <cellStyle name="一般 3 3" xfId="55"/>
    <cellStyle name="一般 3 3 2" xfId="56"/>
    <cellStyle name="一般 3 4" xfId="57"/>
    <cellStyle name="一般 3 5" xfId="58"/>
    <cellStyle name="一般 4" xfId="59"/>
    <cellStyle name="一般 4 10" xfId="60"/>
    <cellStyle name="一般 4 11" xfId="61"/>
    <cellStyle name="一般 4 2" xfId="62"/>
    <cellStyle name="一般 4 3" xfId="63"/>
    <cellStyle name="一般 4 3 2" xfId="64"/>
    <cellStyle name="一般 4 3 3" xfId="65"/>
    <cellStyle name="一般 4 4" xfId="66"/>
    <cellStyle name="一般 4 4 2" xfId="67"/>
    <cellStyle name="一般 4 4 3" xfId="68"/>
    <cellStyle name="一般 4 5" xfId="69"/>
    <cellStyle name="一般 4 5 2" xfId="70"/>
    <cellStyle name="一般 4 5 3" xfId="71"/>
    <cellStyle name="一般 4 6" xfId="72"/>
    <cellStyle name="一般 4 6 2" xfId="73"/>
    <cellStyle name="一般 4 6 3" xfId="74"/>
    <cellStyle name="一般 4 7" xfId="75"/>
    <cellStyle name="一般 4 7 2" xfId="76"/>
    <cellStyle name="一般 4 7 3" xfId="77"/>
    <cellStyle name="一般 4 8" xfId="78"/>
    <cellStyle name="一般 4 8 2" xfId="79"/>
    <cellStyle name="一般 4 8 3" xfId="80"/>
    <cellStyle name="一般 4 9" xfId="81"/>
    <cellStyle name="一般 4 9 2" xfId="82"/>
    <cellStyle name="一般 4 9 3" xfId="83"/>
    <cellStyle name="一般 4_大竹.新莊菜單103下W5 2" xfId="84"/>
    <cellStyle name="一般 5" xfId="85"/>
    <cellStyle name="一般 5 2" xfId="86"/>
    <cellStyle name="一般 6" xfId="87"/>
    <cellStyle name="一般 6 2" xfId="88"/>
    <cellStyle name="一般 6 2 2" xfId="89"/>
    <cellStyle name="一般 7" xfId="90"/>
    <cellStyle name="一般 7 3" xfId="91"/>
    <cellStyle name="一般 7 3 2" xfId="92"/>
    <cellStyle name="一般 7 3 4 2" xfId="93"/>
    <cellStyle name="一般 8" xfId="94"/>
    <cellStyle name="一般 8 2" xfId="95"/>
    <cellStyle name="一般 9" xfId="96"/>
    <cellStyle name="Comma" xfId="97"/>
    <cellStyle name="千分位 2" xfId="98"/>
    <cellStyle name="千分位 2 2" xfId="99"/>
    <cellStyle name="千分位 2 2 2" xfId="100"/>
    <cellStyle name="千分位 2 2 2 2" xfId="101"/>
    <cellStyle name="千分位 2 2 2 3" xfId="102"/>
    <cellStyle name="千分位 2 2 3" xfId="103"/>
    <cellStyle name="千分位 2 2 4" xfId="104"/>
    <cellStyle name="千分位 2 3" xfId="105"/>
    <cellStyle name="千分位 2 3 2" xfId="106"/>
    <cellStyle name="千分位 2 4" xfId="107"/>
    <cellStyle name="Comma [0]" xfId="108"/>
    <cellStyle name="中等" xfId="109"/>
    <cellStyle name="合計" xfId="110"/>
    <cellStyle name="好" xfId="111"/>
    <cellStyle name="Percent" xfId="112"/>
    <cellStyle name="百分比 2" xfId="113"/>
    <cellStyle name="百分比 2 2" xfId="114"/>
    <cellStyle name="百分比 2 2 2" xfId="115"/>
    <cellStyle name="百分比 2 2 3" xfId="116"/>
    <cellStyle name="百分比 2 3" xfId="117"/>
    <cellStyle name="百分比 2 4" xfId="118"/>
    <cellStyle name="計算方式" xfId="119"/>
    <cellStyle name="Currency" xfId="120"/>
    <cellStyle name="Currency [0]" xfId="121"/>
    <cellStyle name="連結的儲存格" xfId="122"/>
    <cellStyle name="備註" xfId="123"/>
    <cellStyle name="說明文字" xfId="124"/>
    <cellStyle name="輔色1" xfId="125"/>
    <cellStyle name="輔色1 2" xfId="126"/>
    <cellStyle name="輔色2" xfId="127"/>
    <cellStyle name="輔色3" xfId="128"/>
    <cellStyle name="輔色4" xfId="129"/>
    <cellStyle name="輔色5" xfId="130"/>
    <cellStyle name="輔色6" xfId="131"/>
    <cellStyle name="標題" xfId="132"/>
    <cellStyle name="標題 1" xfId="133"/>
    <cellStyle name="標題 2" xfId="134"/>
    <cellStyle name="標題 3" xfId="135"/>
    <cellStyle name="標題 4" xfId="136"/>
    <cellStyle name="輸入" xfId="137"/>
    <cellStyle name="輸出" xfId="138"/>
    <cellStyle name="檢查儲存格" xfId="139"/>
    <cellStyle name="壞" xfId="140"/>
    <cellStyle name="警告文字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2&#23416;&#24180;\10&#26376;\&#20689;&#24859;&#24188;&#40670;&#24515;_112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月第五周"/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A1" t="str">
            <v>僑愛國民小學112學年度上學期第</v>
          </cell>
        </row>
      </sheetData>
      <sheetData sheetId="4">
        <row r="1">
          <cell r="O1">
            <v>9</v>
          </cell>
        </row>
        <row r="2">
          <cell r="B2">
            <v>45222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5"/>
  <sheetViews>
    <sheetView view="pageBreakPreview" zoomScale="73" zoomScaleSheetLayoutView="73" workbookViewId="0" topLeftCell="A1">
      <selection activeCell="I22" sqref="I22"/>
    </sheetView>
  </sheetViews>
  <sheetFormatPr defaultColWidth="6.125" defaultRowHeight="16.5"/>
  <cols>
    <col min="1" max="1" width="4.125" style="341" customWidth="1"/>
    <col min="2" max="2" width="17.625" style="252" customWidth="1"/>
    <col min="3" max="3" width="0" style="252" hidden="1" customWidth="1"/>
    <col min="4" max="5" width="5.625" style="252" customWidth="1"/>
    <col min="6" max="6" width="0" style="342" hidden="1" customWidth="1"/>
    <col min="7" max="7" width="0" style="343" hidden="1" customWidth="1"/>
    <col min="8" max="8" width="3.625" style="341" customWidth="1"/>
    <col min="9" max="9" width="17.125" style="252" customWidth="1"/>
    <col min="10" max="10" width="0" style="252" hidden="1" customWidth="1"/>
    <col min="11" max="12" width="5.625" style="252" customWidth="1"/>
    <col min="13" max="13" width="0" style="342" hidden="1" customWidth="1"/>
    <col min="14" max="14" width="0" style="343" hidden="1" customWidth="1"/>
    <col min="15" max="15" width="3.75390625" style="341" customWidth="1"/>
    <col min="16" max="16" width="18.375" style="252" customWidth="1"/>
    <col min="17" max="17" width="6.125" style="252" hidden="1" customWidth="1"/>
    <col min="18" max="19" width="5.625" style="252" customWidth="1"/>
    <col min="20" max="20" width="0" style="342" hidden="1" customWidth="1"/>
    <col min="21" max="21" width="0" style="343" hidden="1" customWidth="1"/>
    <col min="22" max="22" width="3.625" style="344" customWidth="1"/>
    <col min="23" max="23" width="16.125" style="252" customWidth="1"/>
    <col min="24" max="24" width="6.125" style="252" hidden="1" customWidth="1"/>
    <col min="25" max="26" width="5.625" style="252" customWidth="1"/>
    <col min="27" max="27" width="0" style="342" hidden="1" customWidth="1"/>
    <col min="28" max="28" width="0" style="343" hidden="1" customWidth="1"/>
    <col min="29" max="29" width="4.125" style="341" customWidth="1"/>
    <col min="30" max="30" width="16.125" style="252" customWidth="1"/>
    <col min="31" max="31" width="6.125" style="252" hidden="1" customWidth="1"/>
    <col min="32" max="33" width="5.625" style="252" customWidth="1"/>
    <col min="34" max="34" width="0" style="345" hidden="1" customWidth="1"/>
    <col min="35" max="35" width="0" style="343" hidden="1" customWidth="1"/>
    <col min="36" max="36" width="7.50390625" style="22" bestFit="1" customWidth="1"/>
    <col min="37" max="16384" width="6.125" style="22" customWidth="1"/>
  </cols>
  <sheetData>
    <row r="1" spans="1:35" s="253" customFormat="1" ht="30" customHeight="1">
      <c r="A1" s="441" t="str">
        <f>'[1]第三周 '!A1:L1</f>
        <v>僑愛國民小學112學年度上學期第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N1" s="254"/>
      <c r="O1" s="211">
        <f>'[1]第四周'!O1+1</f>
        <v>10</v>
      </c>
      <c r="P1" s="377" t="s">
        <v>271</v>
      </c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254">
        <v>73</v>
      </c>
      <c r="AF1" s="254">
        <v>74</v>
      </c>
      <c r="AG1" s="254"/>
      <c r="AH1" s="254"/>
      <c r="AI1" s="254"/>
    </row>
    <row r="2" spans="1:35" s="264" customFormat="1" ht="18.75" customHeight="1">
      <c r="A2" s="400" t="s">
        <v>24</v>
      </c>
      <c r="B2" s="413">
        <f>'[1]第四周'!B2+7</f>
        <v>45229</v>
      </c>
      <c r="C2" s="413"/>
      <c r="D2" s="413"/>
      <c r="E2" s="413"/>
      <c r="F2" s="255"/>
      <c r="G2" s="256"/>
      <c r="H2" s="416" t="s">
        <v>24</v>
      </c>
      <c r="I2" s="401">
        <f>B2+1</f>
        <v>45230</v>
      </c>
      <c r="J2" s="402"/>
      <c r="K2" s="402"/>
      <c r="L2" s="403"/>
      <c r="M2" s="257"/>
      <c r="N2" s="258"/>
      <c r="O2" s="404" t="s">
        <v>24</v>
      </c>
      <c r="P2" s="405">
        <f>I2+1</f>
        <v>45231</v>
      </c>
      <c r="Q2" s="405"/>
      <c r="R2" s="405"/>
      <c r="S2" s="405"/>
      <c r="T2" s="259"/>
      <c r="U2" s="260"/>
      <c r="V2" s="400" t="s">
        <v>24</v>
      </c>
      <c r="W2" s="414">
        <f>P2+1</f>
        <v>45232</v>
      </c>
      <c r="X2" s="414"/>
      <c r="Y2" s="414"/>
      <c r="Z2" s="414"/>
      <c r="AA2" s="261"/>
      <c r="AB2" s="262"/>
      <c r="AC2" s="400" t="s">
        <v>24</v>
      </c>
      <c r="AD2" s="408">
        <f>W2+1</f>
        <v>45233</v>
      </c>
      <c r="AE2" s="408"/>
      <c r="AF2" s="408"/>
      <c r="AG2" s="409"/>
      <c r="AH2" s="360"/>
      <c r="AI2" s="263"/>
    </row>
    <row r="3" spans="1:35" s="264" customFormat="1" ht="18.75" customHeight="1">
      <c r="A3" s="400"/>
      <c r="B3" s="265" t="s">
        <v>25</v>
      </c>
      <c r="C3" s="265" t="s">
        <v>26</v>
      </c>
      <c r="D3" s="266" t="s">
        <v>27</v>
      </c>
      <c r="E3" s="266" t="s">
        <v>28</v>
      </c>
      <c r="F3" s="267" t="s">
        <v>29</v>
      </c>
      <c r="G3" s="265" t="s">
        <v>30</v>
      </c>
      <c r="H3" s="417"/>
      <c r="I3" s="265" t="s">
        <v>25</v>
      </c>
      <c r="J3" s="265" t="s">
        <v>26</v>
      </c>
      <c r="K3" s="266" t="s">
        <v>27</v>
      </c>
      <c r="L3" s="266" t="s">
        <v>28</v>
      </c>
      <c r="M3" s="267" t="s">
        <v>29</v>
      </c>
      <c r="N3" s="268" t="s">
        <v>30</v>
      </c>
      <c r="O3" s="404"/>
      <c r="P3" s="182" t="s">
        <v>25</v>
      </c>
      <c r="Q3" s="182" t="s">
        <v>26</v>
      </c>
      <c r="R3" s="359" t="s">
        <v>27</v>
      </c>
      <c r="S3" s="359" t="s">
        <v>28</v>
      </c>
      <c r="T3" s="267" t="s">
        <v>29</v>
      </c>
      <c r="U3" s="268" t="s">
        <v>30</v>
      </c>
      <c r="V3" s="400"/>
      <c r="W3" s="265" t="s">
        <v>25</v>
      </c>
      <c r="X3" s="265" t="s">
        <v>26</v>
      </c>
      <c r="Y3" s="266" t="s">
        <v>27</v>
      </c>
      <c r="Z3" s="266" t="s">
        <v>28</v>
      </c>
      <c r="AA3" s="267" t="s">
        <v>29</v>
      </c>
      <c r="AB3" s="268" t="s">
        <v>30</v>
      </c>
      <c r="AC3" s="400"/>
      <c r="AD3" s="265" t="s">
        <v>25</v>
      </c>
      <c r="AE3" s="265" t="s">
        <v>26</v>
      </c>
      <c r="AF3" s="266" t="s">
        <v>27</v>
      </c>
      <c r="AG3" s="289" t="s">
        <v>28</v>
      </c>
      <c r="AH3" s="286" t="s">
        <v>29</v>
      </c>
      <c r="AI3" s="269" t="s">
        <v>30</v>
      </c>
    </row>
    <row r="4" spans="1:35" s="21" customFormat="1" ht="18.75" customHeight="1" hidden="1">
      <c r="A4" s="400"/>
      <c r="B4" s="406" t="s">
        <v>35</v>
      </c>
      <c r="C4" s="406"/>
      <c r="D4" s="406"/>
      <c r="E4" s="406"/>
      <c r="F4" s="270"/>
      <c r="G4" s="271"/>
      <c r="H4" s="418"/>
      <c r="I4" s="410" t="s">
        <v>32</v>
      </c>
      <c r="J4" s="411"/>
      <c r="K4" s="411"/>
      <c r="L4" s="412"/>
      <c r="M4" s="270"/>
      <c r="N4" s="273"/>
      <c r="O4" s="404"/>
      <c r="P4" s="415" t="s">
        <v>31</v>
      </c>
      <c r="Q4" s="415"/>
      <c r="R4" s="415"/>
      <c r="S4" s="415"/>
      <c r="T4" s="267"/>
      <c r="U4" s="272"/>
      <c r="V4" s="400"/>
      <c r="W4" s="419" t="s">
        <v>34</v>
      </c>
      <c r="X4" s="419"/>
      <c r="Y4" s="419"/>
      <c r="Z4" s="419"/>
      <c r="AA4" s="270"/>
      <c r="AB4" s="273"/>
      <c r="AC4" s="400"/>
      <c r="AD4" s="406" t="s">
        <v>35</v>
      </c>
      <c r="AE4" s="406"/>
      <c r="AF4" s="406"/>
      <c r="AG4" s="407"/>
      <c r="AH4" s="270"/>
      <c r="AI4" s="274"/>
    </row>
    <row r="5" spans="1:35" s="21" customFormat="1" ht="18.75" customHeight="1">
      <c r="A5" s="387" t="s">
        <v>36</v>
      </c>
      <c r="B5" s="394"/>
      <c r="C5" s="394"/>
      <c r="D5" s="394"/>
      <c r="E5" s="394"/>
      <c r="F5" s="275"/>
      <c r="G5" s="276"/>
      <c r="H5" s="385" t="s">
        <v>36</v>
      </c>
      <c r="I5" s="386"/>
      <c r="J5" s="386"/>
      <c r="K5" s="386"/>
      <c r="L5" s="387"/>
      <c r="M5" s="275"/>
      <c r="N5" s="277"/>
      <c r="O5" s="396" t="s">
        <v>36</v>
      </c>
      <c r="P5" s="394"/>
      <c r="Q5" s="394"/>
      <c r="R5" s="394"/>
      <c r="S5" s="394"/>
      <c r="T5" s="275"/>
      <c r="U5" s="277"/>
      <c r="V5" s="387" t="s">
        <v>36</v>
      </c>
      <c r="W5" s="394"/>
      <c r="X5" s="394"/>
      <c r="Y5" s="394"/>
      <c r="Z5" s="394"/>
      <c r="AA5" s="275"/>
      <c r="AB5" s="277"/>
      <c r="AC5" s="387" t="s">
        <v>36</v>
      </c>
      <c r="AD5" s="394"/>
      <c r="AE5" s="394"/>
      <c r="AF5" s="394"/>
      <c r="AG5" s="395"/>
      <c r="AH5" s="270"/>
      <c r="AI5" s="274"/>
    </row>
    <row r="6" spans="1:35" s="21" customFormat="1" ht="18.75" customHeight="1">
      <c r="A6" s="450" t="s">
        <v>232</v>
      </c>
      <c r="B6" s="278" t="s">
        <v>233</v>
      </c>
      <c r="C6" s="278">
        <v>2</v>
      </c>
      <c r="D6" s="205">
        <v>3</v>
      </c>
      <c r="E6" s="205" t="s">
        <v>20</v>
      </c>
      <c r="F6" s="279"/>
      <c r="G6" s="280">
        <f>D6*F6</f>
        <v>0</v>
      </c>
      <c r="H6" s="391" t="s">
        <v>234</v>
      </c>
      <c r="I6" s="281" t="s">
        <v>136</v>
      </c>
      <c r="J6" s="281">
        <v>12</v>
      </c>
      <c r="K6" s="282" t="s">
        <v>137</v>
      </c>
      <c r="L6" s="282" t="s">
        <v>0</v>
      </c>
      <c r="M6" s="283"/>
      <c r="N6" s="57"/>
      <c r="O6" s="450" t="s">
        <v>115</v>
      </c>
      <c r="P6" s="143" t="s">
        <v>116</v>
      </c>
      <c r="Q6" s="284">
        <v>2</v>
      </c>
      <c r="R6" s="282">
        <f>ROUND($AF$1*Q6/12,0)</f>
        <v>12</v>
      </c>
      <c r="S6" s="285" t="s">
        <v>117</v>
      </c>
      <c r="T6" s="286">
        <v>52</v>
      </c>
      <c r="U6" s="57">
        <f>R6*T6</f>
        <v>624</v>
      </c>
      <c r="V6" s="391" t="s">
        <v>280</v>
      </c>
      <c r="W6" s="284" t="s">
        <v>235</v>
      </c>
      <c r="X6" s="284">
        <v>20</v>
      </c>
      <c r="Y6" s="282">
        <f aca="true" t="shared" si="0" ref="Y6:Y13">ROUND($AF$1*X6/1000,1)</f>
        <v>1.5</v>
      </c>
      <c r="Z6" s="285" t="s">
        <v>0</v>
      </c>
      <c r="AA6" s="286">
        <v>65</v>
      </c>
      <c r="AB6" s="287">
        <f>Y6*AA6</f>
        <v>97.5</v>
      </c>
      <c r="AC6" s="391" t="s">
        <v>236</v>
      </c>
      <c r="AD6" s="288" t="s">
        <v>277</v>
      </c>
      <c r="AE6" s="55">
        <v>0.7</v>
      </c>
      <c r="AF6" s="358">
        <f>ROUND($AE$1*AE6,0)</f>
        <v>51</v>
      </c>
      <c r="AG6" s="93" t="s">
        <v>61</v>
      </c>
      <c r="AH6" s="286">
        <v>13</v>
      </c>
      <c r="AI6" s="289">
        <f>AF6*AH6</f>
        <v>663</v>
      </c>
    </row>
    <row r="7" spans="1:46" s="21" customFormat="1" ht="18.75" customHeight="1">
      <c r="A7" s="451"/>
      <c r="B7" s="290" t="s">
        <v>237</v>
      </c>
      <c r="C7" s="291">
        <v>40</v>
      </c>
      <c r="D7" s="282">
        <f>ROUND($AF$1*C7/1000,0)</f>
        <v>3</v>
      </c>
      <c r="E7" s="92" t="s">
        <v>19</v>
      </c>
      <c r="F7" s="292"/>
      <c r="G7" s="140">
        <f>D7*F7</f>
        <v>0</v>
      </c>
      <c r="H7" s="392"/>
      <c r="I7" s="281" t="s">
        <v>138</v>
      </c>
      <c r="J7" s="281">
        <v>19.5</v>
      </c>
      <c r="K7" s="282" t="s">
        <v>137</v>
      </c>
      <c r="L7" s="282" t="s">
        <v>0</v>
      </c>
      <c r="M7" s="283"/>
      <c r="N7" s="57"/>
      <c r="O7" s="451"/>
      <c r="P7" s="284" t="s">
        <v>118</v>
      </c>
      <c r="Q7" s="284">
        <v>30</v>
      </c>
      <c r="R7" s="282">
        <f>ROUND($AF$1*Q7/1000,1)</f>
        <v>2.2</v>
      </c>
      <c r="S7" s="285" t="s">
        <v>0</v>
      </c>
      <c r="T7" s="286">
        <v>79</v>
      </c>
      <c r="U7" s="57">
        <f aca="true" t="shared" si="1" ref="U7:U16">R7*T7</f>
        <v>173.8</v>
      </c>
      <c r="V7" s="392"/>
      <c r="W7" s="284" t="s">
        <v>238</v>
      </c>
      <c r="X7" s="284">
        <v>13.5</v>
      </c>
      <c r="Y7" s="282" t="s">
        <v>21</v>
      </c>
      <c r="Z7" s="285" t="s">
        <v>0</v>
      </c>
      <c r="AA7" s="286"/>
      <c r="AB7" s="287"/>
      <c r="AC7" s="392"/>
      <c r="AD7" s="293" t="s">
        <v>38</v>
      </c>
      <c r="AE7" s="77">
        <v>0.5</v>
      </c>
      <c r="AF7" s="282">
        <f>ROUND($AF$1*AE7,0)</f>
        <v>37</v>
      </c>
      <c r="AG7" s="285" t="s">
        <v>55</v>
      </c>
      <c r="AH7" s="286">
        <v>8</v>
      </c>
      <c r="AI7" s="289">
        <f aca="true" t="shared" si="2" ref="AI7:AI15">AF7*AH7</f>
        <v>296</v>
      </c>
      <c r="AP7" s="391" t="s">
        <v>239</v>
      </c>
      <c r="AQ7" s="55" t="s">
        <v>12</v>
      </c>
      <c r="AR7" s="281">
        <v>48.5</v>
      </c>
      <c r="AS7" s="282">
        <f>ROUND($AE$1*AR7/1000,0)</f>
        <v>4</v>
      </c>
      <c r="AT7" s="285" t="s">
        <v>0</v>
      </c>
    </row>
    <row r="8" spans="1:46" s="21" customFormat="1" ht="18.75" customHeight="1">
      <c r="A8" s="451"/>
      <c r="B8" s="228" t="s">
        <v>240</v>
      </c>
      <c r="C8" s="229">
        <v>80</v>
      </c>
      <c r="D8" s="282">
        <f>ROUND($AF$1*C8/1000,0)</f>
        <v>6</v>
      </c>
      <c r="E8" s="92" t="s">
        <v>19</v>
      </c>
      <c r="F8" s="292"/>
      <c r="G8" s="140">
        <f>D8*F8</f>
        <v>0</v>
      </c>
      <c r="H8" s="392"/>
      <c r="I8" s="281" t="s">
        <v>1</v>
      </c>
      <c r="J8" s="281">
        <v>31</v>
      </c>
      <c r="K8" s="282">
        <v>2</v>
      </c>
      <c r="L8" s="282" t="s">
        <v>0</v>
      </c>
      <c r="M8" s="283"/>
      <c r="N8" s="57">
        <f aca="true" t="shared" si="3" ref="N8:N16">K8*M8</f>
        <v>0</v>
      </c>
      <c r="O8" s="451"/>
      <c r="P8" s="284" t="s">
        <v>199</v>
      </c>
      <c r="Q8" s="284">
        <v>1</v>
      </c>
      <c r="R8" s="282">
        <v>1</v>
      </c>
      <c r="S8" s="285" t="s">
        <v>119</v>
      </c>
      <c r="T8" s="286">
        <v>320</v>
      </c>
      <c r="U8" s="57">
        <f t="shared" si="1"/>
        <v>320</v>
      </c>
      <c r="V8" s="392"/>
      <c r="W8" s="284" t="s">
        <v>241</v>
      </c>
      <c r="X8" s="284">
        <v>7</v>
      </c>
      <c r="Y8" s="282">
        <f>ROUND($AF$1*X8/1000,1)</f>
        <v>0.5</v>
      </c>
      <c r="Z8" s="285" t="s">
        <v>0</v>
      </c>
      <c r="AA8" s="286">
        <v>135</v>
      </c>
      <c r="AB8" s="287">
        <f aca="true" t="shared" si="4" ref="AB8:AB16">Y8*AA8</f>
        <v>67.5</v>
      </c>
      <c r="AC8" s="392"/>
      <c r="AD8" s="294" t="s">
        <v>57</v>
      </c>
      <c r="AE8" s="281">
        <v>10</v>
      </c>
      <c r="AF8" s="282">
        <f>ROUND($AF$1*AE8/1000,1)</f>
        <v>0.7</v>
      </c>
      <c r="AG8" s="285" t="s">
        <v>0</v>
      </c>
      <c r="AH8" s="286">
        <v>296</v>
      </c>
      <c r="AI8" s="289">
        <f t="shared" si="2"/>
        <v>207.2</v>
      </c>
      <c r="AP8" s="392"/>
      <c r="AQ8" s="281" t="s">
        <v>242</v>
      </c>
      <c r="AR8" s="281">
        <v>10</v>
      </c>
      <c r="AS8" s="282" t="s">
        <v>21</v>
      </c>
      <c r="AT8" s="285" t="s">
        <v>0</v>
      </c>
    </row>
    <row r="9" spans="1:46" s="21" customFormat="1" ht="18.75" customHeight="1">
      <c r="A9" s="451"/>
      <c r="B9" s="281"/>
      <c r="C9" s="281"/>
      <c r="D9" s="282"/>
      <c r="E9" s="285"/>
      <c r="F9" s="295"/>
      <c r="G9" s="57"/>
      <c r="H9" s="392"/>
      <c r="I9" s="281" t="s">
        <v>139</v>
      </c>
      <c r="J9" s="281">
        <v>30</v>
      </c>
      <c r="K9" s="282">
        <v>3</v>
      </c>
      <c r="L9" s="282" t="s">
        <v>0</v>
      </c>
      <c r="M9" s="283"/>
      <c r="N9" s="57">
        <f t="shared" si="3"/>
        <v>0</v>
      </c>
      <c r="O9" s="451"/>
      <c r="P9" s="281" t="s">
        <v>120</v>
      </c>
      <c r="Q9" s="284">
        <v>10</v>
      </c>
      <c r="R9" s="282">
        <f>ROUND($AF$1*Q9/1000,1)</f>
        <v>0.7</v>
      </c>
      <c r="S9" s="285" t="s">
        <v>0</v>
      </c>
      <c r="T9" s="286">
        <v>90</v>
      </c>
      <c r="U9" s="57">
        <f t="shared" si="1"/>
        <v>62.99999999999999</v>
      </c>
      <c r="V9" s="392"/>
      <c r="W9" s="281" t="s">
        <v>243</v>
      </c>
      <c r="X9" s="284">
        <v>16</v>
      </c>
      <c r="Y9" s="282">
        <f t="shared" si="0"/>
        <v>1.2</v>
      </c>
      <c r="Z9" s="285" t="s">
        <v>0</v>
      </c>
      <c r="AA9" s="286">
        <v>90</v>
      </c>
      <c r="AB9" s="287">
        <f t="shared" si="4"/>
        <v>108</v>
      </c>
      <c r="AC9" s="392"/>
      <c r="AD9" s="296"/>
      <c r="AE9" s="281"/>
      <c r="AF9" s="282"/>
      <c r="AG9" s="285"/>
      <c r="AH9" s="286"/>
      <c r="AI9" s="289">
        <f t="shared" si="2"/>
        <v>0</v>
      </c>
      <c r="AP9" s="392"/>
      <c r="AQ9" s="281" t="s">
        <v>37</v>
      </c>
      <c r="AR9" s="281">
        <v>15</v>
      </c>
      <c r="AS9" s="282">
        <f>ROUND($AE$1*AR9/1000,1)</f>
        <v>1.1</v>
      </c>
      <c r="AT9" s="285" t="s">
        <v>0</v>
      </c>
    </row>
    <row r="10" spans="1:46" s="21" customFormat="1" ht="18.75" customHeight="1">
      <c r="A10" s="451"/>
      <c r="B10" s="281"/>
      <c r="C10" s="281"/>
      <c r="D10" s="282"/>
      <c r="E10" s="285"/>
      <c r="F10" s="295"/>
      <c r="G10" s="57"/>
      <c r="H10" s="392"/>
      <c r="I10" s="281" t="s">
        <v>69</v>
      </c>
      <c r="J10" s="281">
        <v>4</v>
      </c>
      <c r="K10" s="282">
        <v>0.3</v>
      </c>
      <c r="L10" s="282" t="s">
        <v>0</v>
      </c>
      <c r="M10" s="283"/>
      <c r="N10" s="57">
        <f t="shared" si="3"/>
        <v>0</v>
      </c>
      <c r="O10" s="451"/>
      <c r="P10" s="284" t="s">
        <v>244</v>
      </c>
      <c r="Q10" s="284">
        <v>70</v>
      </c>
      <c r="R10" s="282">
        <f>ROUND($AF$1*Q10/1000,0)</f>
        <v>5</v>
      </c>
      <c r="S10" s="285" t="s">
        <v>0</v>
      </c>
      <c r="T10" s="286">
        <v>38</v>
      </c>
      <c r="U10" s="57">
        <f t="shared" si="1"/>
        <v>190</v>
      </c>
      <c r="V10" s="392"/>
      <c r="W10" s="284" t="s">
        <v>63</v>
      </c>
      <c r="X10" s="284">
        <v>10</v>
      </c>
      <c r="Y10" s="282">
        <f t="shared" si="0"/>
        <v>0.7</v>
      </c>
      <c r="Z10" s="285" t="s">
        <v>0</v>
      </c>
      <c r="AA10" s="286">
        <v>75</v>
      </c>
      <c r="AB10" s="287">
        <f t="shared" si="4"/>
        <v>52.5</v>
      </c>
      <c r="AC10" s="392"/>
      <c r="AD10" s="296"/>
      <c r="AE10" s="281"/>
      <c r="AF10" s="282"/>
      <c r="AG10" s="285"/>
      <c r="AH10" s="286"/>
      <c r="AI10" s="289">
        <f t="shared" si="2"/>
        <v>0</v>
      </c>
      <c r="AP10" s="392"/>
      <c r="AQ10" s="281" t="s">
        <v>63</v>
      </c>
      <c r="AR10" s="281">
        <v>8</v>
      </c>
      <c r="AS10" s="282">
        <f>ROUND($AE$1*AR10/1000,1)</f>
        <v>0.6</v>
      </c>
      <c r="AT10" s="285" t="s">
        <v>0</v>
      </c>
    </row>
    <row r="11" spans="1:46" s="21" customFormat="1" ht="18.75" customHeight="1">
      <c r="A11" s="451"/>
      <c r="B11" s="55"/>
      <c r="C11" s="281"/>
      <c r="D11" s="282"/>
      <c r="E11" s="285"/>
      <c r="F11" s="297"/>
      <c r="G11" s="57"/>
      <c r="H11" s="392"/>
      <c r="I11" s="281" t="s">
        <v>64</v>
      </c>
      <c r="J11" s="281">
        <v>3</v>
      </c>
      <c r="K11" s="282">
        <v>0.2</v>
      </c>
      <c r="L11" s="282" t="s">
        <v>0</v>
      </c>
      <c r="M11" s="283"/>
      <c r="N11" s="57">
        <f t="shared" si="3"/>
        <v>0</v>
      </c>
      <c r="O11" s="451"/>
      <c r="P11" s="284"/>
      <c r="Q11" s="284"/>
      <c r="R11" s="282"/>
      <c r="S11" s="285"/>
      <c r="T11" s="286"/>
      <c r="U11" s="57">
        <f t="shared" si="1"/>
        <v>0</v>
      </c>
      <c r="V11" s="392"/>
      <c r="W11" s="284" t="s">
        <v>245</v>
      </c>
      <c r="X11" s="284">
        <v>2</v>
      </c>
      <c r="Y11" s="282" t="s">
        <v>21</v>
      </c>
      <c r="Z11" s="285" t="s">
        <v>0</v>
      </c>
      <c r="AA11" s="286"/>
      <c r="AB11" s="287"/>
      <c r="AC11" s="392"/>
      <c r="AD11" s="294"/>
      <c r="AE11" s="281"/>
      <c r="AF11" s="282"/>
      <c r="AG11" s="285"/>
      <c r="AH11" s="286"/>
      <c r="AI11" s="289">
        <f t="shared" si="2"/>
        <v>0</v>
      </c>
      <c r="AP11" s="392"/>
      <c r="AQ11" s="55" t="s">
        <v>246</v>
      </c>
      <c r="AR11" s="55">
        <v>6</v>
      </c>
      <c r="AS11" s="282">
        <f>ROUND($AE$1*AR11/1000,1)</f>
        <v>0.4</v>
      </c>
      <c r="AT11" s="93" t="s">
        <v>0</v>
      </c>
    </row>
    <row r="12" spans="1:46" s="264" customFormat="1" ht="18.75" customHeight="1">
      <c r="A12" s="451"/>
      <c r="B12" s="298"/>
      <c r="C12" s="281"/>
      <c r="D12" s="282"/>
      <c r="E12" s="285"/>
      <c r="F12" s="297"/>
      <c r="G12" s="57"/>
      <c r="H12" s="392"/>
      <c r="I12" s="281" t="s">
        <v>120</v>
      </c>
      <c r="J12" s="281">
        <v>5</v>
      </c>
      <c r="K12" s="282">
        <v>0.3</v>
      </c>
      <c r="L12" s="282" t="s">
        <v>0</v>
      </c>
      <c r="M12" s="283"/>
      <c r="N12" s="57">
        <f t="shared" si="3"/>
        <v>0</v>
      </c>
      <c r="O12" s="451"/>
      <c r="P12" s="281"/>
      <c r="Q12" s="281"/>
      <c r="R12" s="92"/>
      <c r="S12" s="93"/>
      <c r="T12" s="286"/>
      <c r="U12" s="57">
        <f t="shared" si="1"/>
        <v>0</v>
      </c>
      <c r="V12" s="392"/>
      <c r="W12" s="284" t="s">
        <v>121</v>
      </c>
      <c r="X12" s="284">
        <v>40</v>
      </c>
      <c r="Y12" s="282">
        <v>3</v>
      </c>
      <c r="Z12" s="285" t="s">
        <v>119</v>
      </c>
      <c r="AA12" s="286">
        <v>14</v>
      </c>
      <c r="AB12" s="287">
        <f t="shared" si="4"/>
        <v>42</v>
      </c>
      <c r="AC12" s="392"/>
      <c r="AD12" s="294"/>
      <c r="AE12" s="281"/>
      <c r="AF12" s="282"/>
      <c r="AG12" s="285"/>
      <c r="AH12" s="286"/>
      <c r="AI12" s="289">
        <f t="shared" si="2"/>
        <v>0</v>
      </c>
      <c r="AP12" s="392"/>
      <c r="AQ12" s="281" t="s">
        <v>1</v>
      </c>
      <c r="AR12" s="281">
        <v>30</v>
      </c>
      <c r="AS12" s="282">
        <f>ROUND($AE$1*AR12/1000,1)</f>
        <v>2.2</v>
      </c>
      <c r="AT12" s="285" t="s">
        <v>0</v>
      </c>
    </row>
    <row r="13" spans="1:46" s="21" customFormat="1" ht="18.75" customHeight="1">
      <c r="A13" s="451"/>
      <c r="B13" s="298"/>
      <c r="C13" s="298"/>
      <c r="D13" s="282"/>
      <c r="E13" s="285"/>
      <c r="F13" s="297"/>
      <c r="G13" s="57"/>
      <c r="H13" s="392"/>
      <c r="I13" s="79" t="s">
        <v>140</v>
      </c>
      <c r="J13" s="298"/>
      <c r="K13" s="282" t="s">
        <v>21</v>
      </c>
      <c r="L13" s="282" t="s">
        <v>0</v>
      </c>
      <c r="M13" s="283"/>
      <c r="N13" s="57"/>
      <c r="O13" s="451"/>
      <c r="P13" s="281"/>
      <c r="Q13" s="281"/>
      <c r="R13" s="92"/>
      <c r="S13" s="93"/>
      <c r="T13" s="286"/>
      <c r="U13" s="57">
        <f t="shared" si="1"/>
        <v>0</v>
      </c>
      <c r="V13" s="392"/>
      <c r="W13" s="284" t="s">
        <v>247</v>
      </c>
      <c r="X13" s="284">
        <v>3</v>
      </c>
      <c r="Y13" s="282">
        <f t="shared" si="0"/>
        <v>0.2</v>
      </c>
      <c r="Z13" s="282" t="s">
        <v>0</v>
      </c>
      <c r="AA13" s="283">
        <v>149</v>
      </c>
      <c r="AB13" s="287">
        <f t="shared" si="4"/>
        <v>29.8</v>
      </c>
      <c r="AC13" s="392"/>
      <c r="AD13" s="299"/>
      <c r="AE13" s="281"/>
      <c r="AF13" s="282"/>
      <c r="AG13" s="285"/>
      <c r="AH13" s="286"/>
      <c r="AI13" s="289">
        <f t="shared" si="2"/>
        <v>0</v>
      </c>
      <c r="AP13" s="392"/>
      <c r="AQ13" s="281" t="s">
        <v>92</v>
      </c>
      <c r="AR13" s="281">
        <v>0.5</v>
      </c>
      <c r="AS13" s="282" t="s">
        <v>21</v>
      </c>
      <c r="AT13" s="285" t="s">
        <v>0</v>
      </c>
    </row>
    <row r="14" spans="1:46" s="21" customFormat="1" ht="18.75" customHeight="1">
      <c r="A14" s="451"/>
      <c r="B14" s="442" t="s">
        <v>278</v>
      </c>
      <c r="C14" s="443"/>
      <c r="D14" s="443"/>
      <c r="E14" s="443"/>
      <c r="F14" s="295"/>
      <c r="G14" s="57">
        <f>D14*F14</f>
        <v>0</v>
      </c>
      <c r="H14" s="392"/>
      <c r="I14" s="298" t="s">
        <v>141</v>
      </c>
      <c r="J14" s="298">
        <v>1</v>
      </c>
      <c r="K14" s="282">
        <v>0.1</v>
      </c>
      <c r="L14" s="282" t="s">
        <v>0</v>
      </c>
      <c r="M14" s="283"/>
      <c r="N14" s="57">
        <f t="shared" si="3"/>
        <v>0</v>
      </c>
      <c r="O14" s="451"/>
      <c r="P14" s="281"/>
      <c r="Q14" s="281"/>
      <c r="R14" s="92"/>
      <c r="S14" s="93"/>
      <c r="T14" s="286"/>
      <c r="U14" s="57">
        <f t="shared" si="1"/>
        <v>0</v>
      </c>
      <c r="V14" s="392"/>
      <c r="W14" s="356" t="s">
        <v>281</v>
      </c>
      <c r="X14" s="284">
        <v>15</v>
      </c>
      <c r="Y14" s="282">
        <f>ROUND($AF$1*X14/1000,0)</f>
        <v>1</v>
      </c>
      <c r="Z14" s="285" t="s">
        <v>0</v>
      </c>
      <c r="AA14" s="283">
        <v>260</v>
      </c>
      <c r="AB14" s="287">
        <f t="shared" si="4"/>
        <v>260</v>
      </c>
      <c r="AC14" s="392"/>
      <c r="AD14" s="299"/>
      <c r="AE14" s="281"/>
      <c r="AF14" s="282"/>
      <c r="AG14" s="285"/>
      <c r="AH14" s="286"/>
      <c r="AI14" s="289">
        <f t="shared" si="2"/>
        <v>0</v>
      </c>
      <c r="AP14" s="392"/>
      <c r="AQ14" s="281" t="s">
        <v>248</v>
      </c>
      <c r="AR14" s="281">
        <v>15</v>
      </c>
      <c r="AS14" s="282">
        <f>ROUND($AE$1*AR14/1000,0)</f>
        <v>1</v>
      </c>
      <c r="AT14" s="285" t="s">
        <v>22</v>
      </c>
    </row>
    <row r="15" spans="1:46" s="21" customFormat="1" ht="18.75" customHeight="1">
      <c r="A15" s="451"/>
      <c r="B15" s="444" t="s">
        <v>279</v>
      </c>
      <c r="C15" s="445"/>
      <c r="D15" s="445"/>
      <c r="E15" s="446"/>
      <c r="F15" s="295"/>
      <c r="G15" s="57">
        <f>D15*F15</f>
        <v>0</v>
      </c>
      <c r="H15" s="392"/>
      <c r="I15" s="298"/>
      <c r="J15" s="298"/>
      <c r="K15" s="282"/>
      <c r="L15" s="282"/>
      <c r="M15" s="283"/>
      <c r="N15" s="57">
        <f t="shared" si="3"/>
        <v>0</v>
      </c>
      <c r="O15" s="451"/>
      <c r="P15" s="281"/>
      <c r="Q15" s="281"/>
      <c r="R15" s="92"/>
      <c r="S15" s="93"/>
      <c r="T15" s="286"/>
      <c r="U15" s="57">
        <f t="shared" si="1"/>
        <v>0</v>
      </c>
      <c r="V15" s="392"/>
      <c r="W15" s="284"/>
      <c r="X15" s="284"/>
      <c r="Y15" s="282"/>
      <c r="Z15" s="282"/>
      <c r="AA15" s="283"/>
      <c r="AB15" s="287">
        <f t="shared" si="4"/>
        <v>0</v>
      </c>
      <c r="AC15" s="392"/>
      <c r="AD15" s="77"/>
      <c r="AE15" s="57"/>
      <c r="AF15" s="300"/>
      <c r="AG15" s="285"/>
      <c r="AH15" s="286"/>
      <c r="AI15" s="289">
        <f t="shared" si="2"/>
        <v>0</v>
      </c>
      <c r="AP15" s="392"/>
      <c r="AQ15" s="284" t="s">
        <v>79</v>
      </c>
      <c r="AR15" s="284">
        <v>8</v>
      </c>
      <c r="AS15" s="282">
        <f>ROUND($AE$1*AR15/1000,1)</f>
        <v>0.6</v>
      </c>
      <c r="AT15" s="285" t="s">
        <v>0</v>
      </c>
    </row>
    <row r="16" spans="1:46" s="21" customFormat="1" ht="18.75" customHeight="1">
      <c r="A16" s="452"/>
      <c r="B16" s="301"/>
      <c r="C16" s="301"/>
      <c r="D16" s="302"/>
      <c r="E16" s="303"/>
      <c r="F16" s="297"/>
      <c r="G16" s="57">
        <f>D16*F16</f>
        <v>0</v>
      </c>
      <c r="H16" s="397"/>
      <c r="I16" s="281"/>
      <c r="J16" s="281"/>
      <c r="K16" s="92"/>
      <c r="L16" s="92"/>
      <c r="M16" s="283"/>
      <c r="N16" s="57">
        <f t="shared" si="3"/>
        <v>0</v>
      </c>
      <c r="O16" s="452"/>
      <c r="P16" s="281"/>
      <c r="Q16" s="281"/>
      <c r="R16" s="92"/>
      <c r="S16" s="93"/>
      <c r="T16" s="286"/>
      <c r="U16" s="57">
        <f t="shared" si="1"/>
        <v>0</v>
      </c>
      <c r="V16" s="397"/>
      <c r="W16" s="281"/>
      <c r="X16" s="281"/>
      <c r="Y16" s="282"/>
      <c r="Z16" s="282"/>
      <c r="AA16" s="283"/>
      <c r="AB16" s="287">
        <f t="shared" si="4"/>
        <v>0</v>
      </c>
      <c r="AC16" s="397"/>
      <c r="AD16" s="294"/>
      <c r="AE16" s="281"/>
      <c r="AF16" s="304"/>
      <c r="AG16" s="305"/>
      <c r="AH16" s="286"/>
      <c r="AI16" s="289"/>
      <c r="AP16" s="392"/>
      <c r="AQ16" s="284" t="s">
        <v>38</v>
      </c>
      <c r="AR16" s="284">
        <v>8</v>
      </c>
      <c r="AS16" s="282">
        <f>ROUND($AE$1*AR16/1000,1)</f>
        <v>0.6</v>
      </c>
      <c r="AT16" s="285" t="s">
        <v>0</v>
      </c>
    </row>
    <row r="17" spans="1:46" s="21" customFormat="1" ht="18.75" customHeight="1">
      <c r="A17" s="398" t="s">
        <v>39</v>
      </c>
      <c r="B17" s="398"/>
      <c r="C17" s="398"/>
      <c r="D17" s="398"/>
      <c r="E17" s="398"/>
      <c r="F17" s="275"/>
      <c r="G17" s="276"/>
      <c r="H17" s="420" t="s">
        <v>39</v>
      </c>
      <c r="I17" s="421"/>
      <c r="J17" s="421"/>
      <c r="K17" s="421"/>
      <c r="L17" s="421"/>
      <c r="M17" s="306"/>
      <c r="N17" s="277"/>
      <c r="O17" s="398" t="s">
        <v>39</v>
      </c>
      <c r="P17" s="398"/>
      <c r="Q17" s="398"/>
      <c r="R17" s="398"/>
      <c r="S17" s="398"/>
      <c r="T17" s="273"/>
      <c r="U17" s="277"/>
      <c r="V17" s="398" t="s">
        <v>39</v>
      </c>
      <c r="W17" s="398"/>
      <c r="X17" s="398"/>
      <c r="Y17" s="398"/>
      <c r="Z17" s="398"/>
      <c r="AA17" s="273"/>
      <c r="AB17" s="277"/>
      <c r="AC17" s="398" t="s">
        <v>39</v>
      </c>
      <c r="AD17" s="398"/>
      <c r="AE17" s="398"/>
      <c r="AF17" s="398"/>
      <c r="AG17" s="398"/>
      <c r="AH17" s="273"/>
      <c r="AI17" s="274"/>
      <c r="AP17" s="397"/>
      <c r="AQ17" s="281" t="s">
        <v>245</v>
      </c>
      <c r="AR17" s="281">
        <v>3.5</v>
      </c>
      <c r="AS17" s="282" t="s">
        <v>21</v>
      </c>
      <c r="AT17" s="285" t="s">
        <v>0</v>
      </c>
    </row>
    <row r="18" spans="1:35" s="21" customFormat="1" ht="18.75" customHeight="1">
      <c r="A18" s="438" t="s">
        <v>249</v>
      </c>
      <c r="B18" s="307" t="s">
        <v>250</v>
      </c>
      <c r="C18" s="307">
        <v>8.4</v>
      </c>
      <c r="D18" s="205">
        <f>ROUND($AF$1*C18/1000,1)</f>
        <v>0.6</v>
      </c>
      <c r="E18" s="206" t="s">
        <v>0</v>
      </c>
      <c r="F18" s="297"/>
      <c r="G18" s="57">
        <f aca="true" t="shared" si="5" ref="G18:G25">D18*F18</f>
        <v>0</v>
      </c>
      <c r="H18" s="388" t="s">
        <v>134</v>
      </c>
      <c r="I18" s="281" t="s">
        <v>60</v>
      </c>
      <c r="J18" s="281">
        <v>5.5</v>
      </c>
      <c r="K18" s="282">
        <v>2</v>
      </c>
      <c r="L18" s="57" t="s">
        <v>19</v>
      </c>
      <c r="M18" s="283"/>
      <c r="N18" s="57">
        <f aca="true" t="shared" si="6" ref="N18:N25">K18*M18</f>
        <v>0</v>
      </c>
      <c r="O18" s="391" t="s">
        <v>42</v>
      </c>
      <c r="P18" s="308" t="s">
        <v>18</v>
      </c>
      <c r="Q18" s="57">
        <v>41</v>
      </c>
      <c r="R18" s="282">
        <f>ROUND($AF$1*Q18/1000,1)</f>
        <v>3</v>
      </c>
      <c r="S18" s="285" t="s">
        <v>0</v>
      </c>
      <c r="T18" s="286">
        <v>105</v>
      </c>
      <c r="U18" s="57">
        <f aca="true" t="shared" si="7" ref="U18:U24">R18*T18</f>
        <v>315</v>
      </c>
      <c r="V18" s="388" t="s">
        <v>127</v>
      </c>
      <c r="W18" s="309" t="s">
        <v>128</v>
      </c>
      <c r="X18" s="309">
        <v>20</v>
      </c>
      <c r="Y18" s="282">
        <f>ROUND($AF$1*X18/1000,1)</f>
        <v>1.5</v>
      </c>
      <c r="Z18" s="285" t="s">
        <v>0</v>
      </c>
      <c r="AA18" s="286">
        <v>123</v>
      </c>
      <c r="AB18" s="57">
        <f aca="true" t="shared" si="8" ref="AB18:AB25">Y18*AA18</f>
        <v>184.5</v>
      </c>
      <c r="AC18" s="391" t="s">
        <v>42</v>
      </c>
      <c r="AD18" s="308" t="s">
        <v>59</v>
      </c>
      <c r="AE18" s="308">
        <v>40</v>
      </c>
      <c r="AF18" s="282">
        <v>3</v>
      </c>
      <c r="AG18" s="310" t="s">
        <v>0</v>
      </c>
      <c r="AH18" s="286">
        <v>175</v>
      </c>
      <c r="AI18" s="289">
        <f aca="true" t="shared" si="9" ref="AI18:AI25">AF18*AH18</f>
        <v>525</v>
      </c>
    </row>
    <row r="19" spans="1:35" s="21" customFormat="1" ht="18.75" customHeight="1">
      <c r="A19" s="439"/>
      <c r="B19" s="311" t="s">
        <v>77</v>
      </c>
      <c r="C19" s="311">
        <v>17</v>
      </c>
      <c r="D19" s="312">
        <f>ROUND($AF$1*C19/600,0)</f>
        <v>2</v>
      </c>
      <c r="E19" s="313" t="s">
        <v>119</v>
      </c>
      <c r="F19" s="297"/>
      <c r="G19" s="57">
        <f t="shared" si="5"/>
        <v>0</v>
      </c>
      <c r="H19" s="389"/>
      <c r="I19" s="281" t="s">
        <v>135</v>
      </c>
      <c r="J19" s="281">
        <v>30</v>
      </c>
      <c r="K19" s="282">
        <f>ROUND($AF$1*J19/1000,1)</f>
        <v>2.2</v>
      </c>
      <c r="L19" s="57" t="s">
        <v>0</v>
      </c>
      <c r="M19" s="283"/>
      <c r="N19" s="57">
        <f t="shared" si="6"/>
        <v>0</v>
      </c>
      <c r="O19" s="392"/>
      <c r="P19" s="308" t="s">
        <v>171</v>
      </c>
      <c r="Q19" s="57">
        <v>41</v>
      </c>
      <c r="R19" s="282">
        <f>ROUND($AF$1*Q19/1000,1)</f>
        <v>3</v>
      </c>
      <c r="S19" s="285" t="s">
        <v>0</v>
      </c>
      <c r="T19" s="286">
        <v>200</v>
      </c>
      <c r="U19" s="57">
        <f t="shared" si="7"/>
        <v>600</v>
      </c>
      <c r="V19" s="389"/>
      <c r="W19" s="309" t="s">
        <v>129</v>
      </c>
      <c r="X19" s="309">
        <v>10</v>
      </c>
      <c r="Y19" s="282">
        <v>0.2</v>
      </c>
      <c r="Z19" s="285" t="s">
        <v>0</v>
      </c>
      <c r="AA19" s="286">
        <v>53</v>
      </c>
      <c r="AB19" s="57">
        <f t="shared" si="8"/>
        <v>10.600000000000001</v>
      </c>
      <c r="AC19" s="392"/>
      <c r="AD19" s="308" t="s">
        <v>178</v>
      </c>
      <c r="AE19" s="308">
        <v>40</v>
      </c>
      <c r="AF19" s="282">
        <v>3</v>
      </c>
      <c r="AG19" s="285" t="s">
        <v>0</v>
      </c>
      <c r="AH19" s="286">
        <v>160</v>
      </c>
      <c r="AI19" s="289">
        <f t="shared" si="9"/>
        <v>480</v>
      </c>
    </row>
    <row r="20" spans="1:35" s="21" customFormat="1" ht="18.75" customHeight="1">
      <c r="A20" s="439"/>
      <c r="B20" s="284" t="s">
        <v>79</v>
      </c>
      <c r="C20" s="284">
        <v>8</v>
      </c>
      <c r="D20" s="282">
        <f>ROUND($AF$1*C20/1000,1)</f>
        <v>0.6</v>
      </c>
      <c r="E20" s="285" t="s">
        <v>0</v>
      </c>
      <c r="F20" s="297"/>
      <c r="G20" s="57">
        <f t="shared" si="5"/>
        <v>0</v>
      </c>
      <c r="H20" s="389"/>
      <c r="I20" s="281" t="s">
        <v>23</v>
      </c>
      <c r="J20" s="281">
        <v>20</v>
      </c>
      <c r="K20" s="282">
        <f>ROUND($AF$1*J20/1000,1)</f>
        <v>1.5</v>
      </c>
      <c r="L20" s="57" t="s">
        <v>0</v>
      </c>
      <c r="M20" s="283"/>
      <c r="N20" s="57">
        <f t="shared" si="6"/>
        <v>0</v>
      </c>
      <c r="O20" s="392"/>
      <c r="P20" s="28" t="s">
        <v>45</v>
      </c>
      <c r="Q20" s="57">
        <v>41</v>
      </c>
      <c r="R20" s="282">
        <f>ROUND($AF$1*Q20/1000,1)</f>
        <v>3</v>
      </c>
      <c r="S20" s="285" t="s">
        <v>0</v>
      </c>
      <c r="T20" s="286">
        <v>280</v>
      </c>
      <c r="U20" s="57">
        <f t="shared" si="7"/>
        <v>840</v>
      </c>
      <c r="V20" s="389"/>
      <c r="W20" s="281" t="s">
        <v>201</v>
      </c>
      <c r="X20" s="281">
        <v>40</v>
      </c>
      <c r="Y20" s="282">
        <v>1</v>
      </c>
      <c r="Z20" s="285" t="s">
        <v>20</v>
      </c>
      <c r="AA20" s="286">
        <v>45</v>
      </c>
      <c r="AB20" s="57">
        <f t="shared" si="8"/>
        <v>45</v>
      </c>
      <c r="AC20" s="392"/>
      <c r="AD20" s="28" t="s">
        <v>18</v>
      </c>
      <c r="AE20" s="308">
        <v>40</v>
      </c>
      <c r="AF20" s="282">
        <v>3</v>
      </c>
      <c r="AG20" s="285" t="s">
        <v>0</v>
      </c>
      <c r="AH20" s="286">
        <v>105</v>
      </c>
      <c r="AI20" s="289">
        <f t="shared" si="9"/>
        <v>315</v>
      </c>
    </row>
    <row r="21" spans="1:35" s="21" customFormat="1" ht="18.75" customHeight="1">
      <c r="A21" s="439"/>
      <c r="B21" s="281" t="s">
        <v>202</v>
      </c>
      <c r="C21" s="284">
        <v>3</v>
      </c>
      <c r="D21" s="282">
        <f>ROUND($AF$1*C21/1000,1)</f>
        <v>0.2</v>
      </c>
      <c r="E21" s="285" t="s">
        <v>0</v>
      </c>
      <c r="F21" s="297"/>
      <c r="G21" s="57">
        <f t="shared" si="5"/>
        <v>0</v>
      </c>
      <c r="H21" s="389"/>
      <c r="I21" s="281" t="s">
        <v>200</v>
      </c>
      <c r="J21" s="281">
        <v>5</v>
      </c>
      <c r="K21" s="282">
        <v>1</v>
      </c>
      <c r="L21" s="57" t="s">
        <v>22</v>
      </c>
      <c r="M21" s="283"/>
      <c r="N21" s="57">
        <f t="shared" si="6"/>
        <v>0</v>
      </c>
      <c r="O21" s="392"/>
      <c r="P21" s="281"/>
      <c r="Q21" s="281"/>
      <c r="R21" s="92"/>
      <c r="S21" s="93"/>
      <c r="T21" s="286"/>
      <c r="U21" s="57">
        <f t="shared" si="7"/>
        <v>0</v>
      </c>
      <c r="V21" s="389"/>
      <c r="W21" s="228" t="s">
        <v>240</v>
      </c>
      <c r="X21" s="229">
        <v>80</v>
      </c>
      <c r="Y21" s="282" t="s">
        <v>21</v>
      </c>
      <c r="Z21" s="92" t="s">
        <v>19</v>
      </c>
      <c r="AA21" s="283"/>
      <c r="AB21" s="57"/>
      <c r="AC21" s="392"/>
      <c r="AD21" s="281"/>
      <c r="AE21" s="281"/>
      <c r="AF21" s="92"/>
      <c r="AG21" s="93"/>
      <c r="AH21" s="286"/>
      <c r="AI21" s="289">
        <f t="shared" si="9"/>
        <v>0</v>
      </c>
    </row>
    <row r="22" spans="1:35" s="21" customFormat="1" ht="18.75" customHeight="1">
      <c r="A22" s="439"/>
      <c r="B22" s="284" t="s">
        <v>194</v>
      </c>
      <c r="C22" s="284">
        <v>40</v>
      </c>
      <c r="D22" s="205">
        <v>3</v>
      </c>
      <c r="E22" s="285" t="s">
        <v>0</v>
      </c>
      <c r="F22" s="297"/>
      <c r="G22" s="57">
        <f t="shared" si="5"/>
        <v>0</v>
      </c>
      <c r="H22" s="389"/>
      <c r="I22" s="281" t="s">
        <v>105</v>
      </c>
      <c r="J22" s="281">
        <v>10</v>
      </c>
      <c r="K22" s="282">
        <v>2</v>
      </c>
      <c r="L22" s="57" t="s">
        <v>19</v>
      </c>
      <c r="M22" s="283"/>
      <c r="N22" s="57">
        <f t="shared" si="6"/>
        <v>0</v>
      </c>
      <c r="O22" s="392"/>
      <c r="P22" s="230" t="s">
        <v>240</v>
      </c>
      <c r="Q22" s="231">
        <v>120</v>
      </c>
      <c r="R22" s="314" t="s">
        <v>21</v>
      </c>
      <c r="S22" s="231" t="s">
        <v>48</v>
      </c>
      <c r="T22" s="283"/>
      <c r="U22" s="57"/>
      <c r="V22" s="389"/>
      <c r="W22" s="281" t="s">
        <v>130</v>
      </c>
      <c r="X22" s="281"/>
      <c r="Y22" s="282"/>
      <c r="Z22" s="285"/>
      <c r="AA22" s="286"/>
      <c r="AB22" s="57">
        <f t="shared" si="8"/>
        <v>0</v>
      </c>
      <c r="AC22" s="392"/>
      <c r="AD22" s="230" t="s">
        <v>240</v>
      </c>
      <c r="AE22" s="231">
        <v>120</v>
      </c>
      <c r="AF22" s="314" t="s">
        <v>21</v>
      </c>
      <c r="AG22" s="361" t="s">
        <v>48</v>
      </c>
      <c r="AH22" s="286"/>
      <c r="AI22" s="289"/>
    </row>
    <row r="23" spans="1:35" s="21" customFormat="1" ht="18.75" customHeight="1">
      <c r="A23" s="439"/>
      <c r="B23" s="315"/>
      <c r="C23" s="315"/>
      <c r="D23" s="146"/>
      <c r="E23" s="148"/>
      <c r="F23" s="297"/>
      <c r="G23" s="57">
        <f t="shared" si="5"/>
        <v>0</v>
      </c>
      <c r="H23" s="389"/>
      <c r="I23" s="316" t="s">
        <v>97</v>
      </c>
      <c r="J23" s="57">
        <v>33</v>
      </c>
      <c r="K23" s="57">
        <v>1</v>
      </c>
      <c r="L23" s="57" t="s">
        <v>48</v>
      </c>
      <c r="M23" s="283"/>
      <c r="N23" s="57">
        <f t="shared" si="6"/>
        <v>0</v>
      </c>
      <c r="O23" s="392"/>
      <c r="P23" s="317" t="s">
        <v>251</v>
      </c>
      <c r="Q23" s="151"/>
      <c r="R23" s="92"/>
      <c r="S23" s="92"/>
      <c r="T23" s="283"/>
      <c r="U23" s="57">
        <f t="shared" si="7"/>
        <v>0</v>
      </c>
      <c r="V23" s="389"/>
      <c r="W23" s="447" t="s">
        <v>131</v>
      </c>
      <c r="X23" s="448"/>
      <c r="Y23" s="448"/>
      <c r="Z23" s="449"/>
      <c r="AA23" s="286"/>
      <c r="AB23" s="57">
        <f t="shared" si="8"/>
        <v>0</v>
      </c>
      <c r="AC23" s="392"/>
      <c r="AD23" s="317" t="s">
        <v>251</v>
      </c>
      <c r="AE23" s="151"/>
      <c r="AF23" s="92"/>
      <c r="AG23" s="93"/>
      <c r="AH23" s="286"/>
      <c r="AI23" s="289">
        <f t="shared" si="9"/>
        <v>0</v>
      </c>
    </row>
    <row r="24" spans="1:35" s="21" customFormat="1" ht="18.75" customHeight="1">
      <c r="A24" s="439"/>
      <c r="B24" s="315"/>
      <c r="C24" s="315"/>
      <c r="D24" s="146"/>
      <c r="E24" s="148"/>
      <c r="F24" s="297"/>
      <c r="G24" s="57">
        <f t="shared" si="5"/>
        <v>0</v>
      </c>
      <c r="H24" s="389"/>
      <c r="I24" s="316"/>
      <c r="J24" s="57"/>
      <c r="K24" s="57"/>
      <c r="L24" s="57"/>
      <c r="M24" s="283"/>
      <c r="N24" s="57">
        <f t="shared" si="6"/>
        <v>0</v>
      </c>
      <c r="O24" s="392"/>
      <c r="P24" s="281"/>
      <c r="Q24" s="281"/>
      <c r="R24" s="92"/>
      <c r="S24" s="92"/>
      <c r="T24" s="283"/>
      <c r="U24" s="57">
        <f t="shared" si="7"/>
        <v>0</v>
      </c>
      <c r="V24" s="389"/>
      <c r="W24" s="317" t="s">
        <v>253</v>
      </c>
      <c r="X24" s="281"/>
      <c r="Y24" s="92"/>
      <c r="Z24" s="93"/>
      <c r="AA24" s="286"/>
      <c r="AB24" s="57">
        <f t="shared" si="8"/>
        <v>0</v>
      </c>
      <c r="AC24" s="392"/>
      <c r="AD24" s="281"/>
      <c r="AE24" s="281"/>
      <c r="AF24" s="92"/>
      <c r="AG24" s="93"/>
      <c r="AH24" s="286"/>
      <c r="AI24" s="289">
        <f t="shared" si="9"/>
        <v>0</v>
      </c>
    </row>
    <row r="25" spans="1:35" s="21" customFormat="1" ht="18.75" customHeight="1" thickBot="1">
      <c r="A25" s="440"/>
      <c r="B25" s="362"/>
      <c r="C25" s="362"/>
      <c r="D25" s="363"/>
      <c r="E25" s="364"/>
      <c r="F25" s="365"/>
      <c r="G25" s="366">
        <f t="shared" si="5"/>
        <v>0</v>
      </c>
      <c r="H25" s="390"/>
      <c r="I25" s="319"/>
      <c r="J25" s="319"/>
      <c r="K25" s="320"/>
      <c r="L25" s="321"/>
      <c r="M25" s="322"/>
      <c r="N25" s="366">
        <f t="shared" si="6"/>
        <v>0</v>
      </c>
      <c r="O25" s="393"/>
      <c r="P25" s="319"/>
      <c r="Q25" s="319"/>
      <c r="R25" s="177"/>
      <c r="S25" s="178"/>
      <c r="T25" s="324"/>
      <c r="U25" s="366">
        <f>R25*T25</f>
        <v>0</v>
      </c>
      <c r="V25" s="390"/>
      <c r="W25" s="357" t="s">
        <v>17</v>
      </c>
      <c r="X25" s="319">
        <v>70</v>
      </c>
      <c r="Y25" s="321">
        <f>ROUND($AF$1*X25/1000,0)</f>
        <v>5</v>
      </c>
      <c r="Z25" s="323" t="s">
        <v>0</v>
      </c>
      <c r="AA25" s="324">
        <v>300</v>
      </c>
      <c r="AB25" s="366">
        <f t="shared" si="8"/>
        <v>1500</v>
      </c>
      <c r="AC25" s="393"/>
      <c r="AD25" s="319"/>
      <c r="AE25" s="319"/>
      <c r="AF25" s="177"/>
      <c r="AG25" s="178"/>
      <c r="AH25" s="324"/>
      <c r="AI25" s="325">
        <f t="shared" si="9"/>
        <v>0</v>
      </c>
    </row>
    <row r="26" spans="1:36" s="264" customFormat="1" ht="18.75" customHeight="1">
      <c r="A26" s="435" t="s">
        <v>81</v>
      </c>
      <c r="B26" s="167" t="s">
        <v>82</v>
      </c>
      <c r="C26" s="380">
        <v>2.5</v>
      </c>
      <c r="D26" s="380"/>
      <c r="E26" s="381"/>
      <c r="F26" s="426">
        <f>SUM(G6:G25)</f>
        <v>0</v>
      </c>
      <c r="G26" s="426"/>
      <c r="H26" s="427" t="s">
        <v>81</v>
      </c>
      <c r="I26" s="96" t="s">
        <v>82</v>
      </c>
      <c r="J26" s="380">
        <v>2.2</v>
      </c>
      <c r="K26" s="380"/>
      <c r="L26" s="381"/>
      <c r="M26" s="426">
        <f>SUM(N6:N25)</f>
        <v>0</v>
      </c>
      <c r="N26" s="426"/>
      <c r="O26" s="430" t="s">
        <v>81</v>
      </c>
      <c r="P26" s="96" t="s">
        <v>82</v>
      </c>
      <c r="Q26" s="380">
        <v>2</v>
      </c>
      <c r="R26" s="380"/>
      <c r="S26" s="381"/>
      <c r="T26" s="426">
        <f>SUM(U6:U25)</f>
        <v>3125.8</v>
      </c>
      <c r="U26" s="426"/>
      <c r="V26" s="423" t="s">
        <v>81</v>
      </c>
      <c r="W26" s="96" t="s">
        <v>82</v>
      </c>
      <c r="X26" s="380">
        <v>2.5</v>
      </c>
      <c r="Y26" s="380"/>
      <c r="Z26" s="381"/>
      <c r="AA26" s="426">
        <f>SUM(AB6:AB25)</f>
        <v>2397.4</v>
      </c>
      <c r="AB26" s="426"/>
      <c r="AC26" s="423" t="s">
        <v>81</v>
      </c>
      <c r="AD26" s="96" t="s">
        <v>82</v>
      </c>
      <c r="AE26" s="380">
        <v>2</v>
      </c>
      <c r="AF26" s="380"/>
      <c r="AG26" s="399"/>
      <c r="AH26" s="426">
        <f>SUM(AI6:AI25)</f>
        <v>2486.2</v>
      </c>
      <c r="AI26" s="426"/>
      <c r="AJ26" s="326">
        <f>(AE26+C26+J26+Q26+X26)/5</f>
        <v>2.2399999999999998</v>
      </c>
    </row>
    <row r="27" spans="1:36" s="264" customFormat="1" ht="18.75" customHeight="1">
      <c r="A27" s="436"/>
      <c r="B27" s="168" t="s">
        <v>83</v>
      </c>
      <c r="C27" s="382">
        <v>0.7</v>
      </c>
      <c r="D27" s="382"/>
      <c r="E27" s="383"/>
      <c r="F27" s="99"/>
      <c r="G27" s="327"/>
      <c r="H27" s="428"/>
      <c r="I27" s="98" t="s">
        <v>83</v>
      </c>
      <c r="J27" s="382">
        <v>0.6</v>
      </c>
      <c r="K27" s="382"/>
      <c r="L27" s="383"/>
      <c r="M27" s="101"/>
      <c r="N27" s="327"/>
      <c r="O27" s="431"/>
      <c r="P27" s="98" t="s">
        <v>83</v>
      </c>
      <c r="Q27" s="382">
        <v>0.3</v>
      </c>
      <c r="R27" s="382"/>
      <c r="S27" s="383"/>
      <c r="T27" s="101"/>
      <c r="U27" s="102"/>
      <c r="V27" s="424"/>
      <c r="W27" s="98" t="s">
        <v>83</v>
      </c>
      <c r="X27" s="382">
        <v>0.5</v>
      </c>
      <c r="Y27" s="382"/>
      <c r="Z27" s="383"/>
      <c r="AA27" s="328"/>
      <c r="AB27" s="327"/>
      <c r="AC27" s="424"/>
      <c r="AD27" s="98" t="s">
        <v>83</v>
      </c>
      <c r="AE27" s="382">
        <v>0.5</v>
      </c>
      <c r="AF27" s="382"/>
      <c r="AG27" s="384"/>
      <c r="AH27" s="329"/>
      <c r="AI27" s="330"/>
      <c r="AJ27" s="326">
        <f aca="true" t="shared" si="10" ref="AJ27:AJ32">(AE27+C27+J27+Q27+X27)/5</f>
        <v>0.5199999999999999</v>
      </c>
    </row>
    <row r="28" spans="1:36" s="264" customFormat="1" ht="18.75" customHeight="1">
      <c r="A28" s="436"/>
      <c r="B28" s="169" t="s">
        <v>86</v>
      </c>
      <c r="C28" s="382">
        <v>0.2</v>
      </c>
      <c r="D28" s="382"/>
      <c r="E28" s="383"/>
      <c r="F28" s="99"/>
      <c r="G28" s="327"/>
      <c r="H28" s="428"/>
      <c r="I28" s="106" t="s">
        <v>86</v>
      </c>
      <c r="J28" s="382">
        <v>0.2</v>
      </c>
      <c r="K28" s="382"/>
      <c r="L28" s="383"/>
      <c r="M28" s="101"/>
      <c r="N28" s="327"/>
      <c r="O28" s="431"/>
      <c r="P28" s="106" t="s">
        <v>86</v>
      </c>
      <c r="Q28" s="382">
        <v>0.5</v>
      </c>
      <c r="R28" s="382"/>
      <c r="S28" s="383"/>
      <c r="T28" s="101"/>
      <c r="U28" s="102"/>
      <c r="V28" s="424"/>
      <c r="W28" s="106" t="s">
        <v>86</v>
      </c>
      <c r="X28" s="382">
        <v>0.4</v>
      </c>
      <c r="Y28" s="382"/>
      <c r="Z28" s="383"/>
      <c r="AA28" s="328"/>
      <c r="AB28" s="327"/>
      <c r="AC28" s="424"/>
      <c r="AD28" s="106" t="s">
        <v>86</v>
      </c>
      <c r="AE28" s="382">
        <v>0.1</v>
      </c>
      <c r="AF28" s="382"/>
      <c r="AG28" s="384"/>
      <c r="AH28" s="329"/>
      <c r="AI28" s="330"/>
      <c r="AJ28" s="326">
        <f t="shared" si="10"/>
        <v>0.27999999999999997</v>
      </c>
    </row>
    <row r="29" spans="1:36" s="264" customFormat="1" ht="18.75" customHeight="1">
      <c r="A29" s="436"/>
      <c r="B29" s="170" t="s">
        <v>85</v>
      </c>
      <c r="C29" s="382">
        <v>0.5</v>
      </c>
      <c r="D29" s="382"/>
      <c r="E29" s="383"/>
      <c r="F29" s="99"/>
      <c r="G29" s="327"/>
      <c r="H29" s="428"/>
      <c r="I29" s="107" t="s">
        <v>84</v>
      </c>
      <c r="J29" s="382">
        <v>0.5</v>
      </c>
      <c r="K29" s="382"/>
      <c r="L29" s="383"/>
      <c r="M29" s="101"/>
      <c r="N29" s="327"/>
      <c r="O29" s="431"/>
      <c r="P29" s="107" t="s">
        <v>84</v>
      </c>
      <c r="Q29" s="382">
        <v>0.5</v>
      </c>
      <c r="R29" s="382"/>
      <c r="S29" s="383"/>
      <c r="T29" s="101"/>
      <c r="U29" s="102"/>
      <c r="V29" s="424"/>
      <c r="W29" s="107" t="s">
        <v>85</v>
      </c>
      <c r="X29" s="382">
        <v>0.5</v>
      </c>
      <c r="Y29" s="382"/>
      <c r="Z29" s="383"/>
      <c r="AA29" s="328"/>
      <c r="AB29" s="327"/>
      <c r="AC29" s="424"/>
      <c r="AD29" s="107" t="s">
        <v>85</v>
      </c>
      <c r="AE29" s="382">
        <v>0.5</v>
      </c>
      <c r="AF29" s="382"/>
      <c r="AG29" s="384"/>
      <c r="AH29" s="329"/>
      <c r="AI29" s="330"/>
      <c r="AJ29" s="326">
        <f t="shared" si="10"/>
        <v>0.5</v>
      </c>
    </row>
    <row r="30" spans="1:36" s="264" customFormat="1" ht="18.75" customHeight="1">
      <c r="A30" s="436"/>
      <c r="B30" s="168" t="s">
        <v>87</v>
      </c>
      <c r="C30" s="382">
        <v>0</v>
      </c>
      <c r="D30" s="382"/>
      <c r="E30" s="383"/>
      <c r="F30" s="99"/>
      <c r="G30" s="327"/>
      <c r="H30" s="428"/>
      <c r="I30" s="98" t="s">
        <v>87</v>
      </c>
      <c r="J30" s="382">
        <v>0</v>
      </c>
      <c r="K30" s="382"/>
      <c r="L30" s="383"/>
      <c r="M30" s="101"/>
      <c r="N30" s="327"/>
      <c r="O30" s="431"/>
      <c r="P30" s="98" t="s">
        <v>87</v>
      </c>
      <c r="Q30" s="382">
        <v>1</v>
      </c>
      <c r="R30" s="382"/>
      <c r="S30" s="383"/>
      <c r="T30" s="101"/>
      <c r="U30" s="102"/>
      <c r="V30" s="424"/>
      <c r="W30" s="98" t="s">
        <v>87</v>
      </c>
      <c r="X30" s="382">
        <v>0.5</v>
      </c>
      <c r="Y30" s="382"/>
      <c r="Z30" s="383"/>
      <c r="AA30" s="328"/>
      <c r="AB30" s="327"/>
      <c r="AC30" s="424"/>
      <c r="AD30" s="98" t="s">
        <v>87</v>
      </c>
      <c r="AE30" s="382">
        <v>1</v>
      </c>
      <c r="AF30" s="382"/>
      <c r="AG30" s="384"/>
      <c r="AH30" s="329"/>
      <c r="AI30" s="330"/>
      <c r="AJ30" s="326">
        <f t="shared" si="10"/>
        <v>0.5</v>
      </c>
    </row>
    <row r="31" spans="1:36" s="264" customFormat="1" ht="18.75" customHeight="1">
      <c r="A31" s="436"/>
      <c r="B31" s="168" t="s">
        <v>88</v>
      </c>
      <c r="C31" s="382">
        <v>0.3</v>
      </c>
      <c r="D31" s="382"/>
      <c r="E31" s="383"/>
      <c r="F31" s="99"/>
      <c r="G31" s="327"/>
      <c r="H31" s="428"/>
      <c r="I31" s="98" t="s">
        <v>88</v>
      </c>
      <c r="J31" s="382">
        <v>0.1</v>
      </c>
      <c r="K31" s="382"/>
      <c r="L31" s="383"/>
      <c r="M31" s="108"/>
      <c r="N31" s="327"/>
      <c r="O31" s="431"/>
      <c r="P31" s="98" t="s">
        <v>88</v>
      </c>
      <c r="Q31" s="382">
        <v>0.6</v>
      </c>
      <c r="R31" s="382"/>
      <c r="S31" s="383"/>
      <c r="T31" s="101"/>
      <c r="U31" s="102"/>
      <c r="V31" s="424"/>
      <c r="W31" s="98" t="s">
        <v>88</v>
      </c>
      <c r="X31" s="382">
        <v>0.4</v>
      </c>
      <c r="Y31" s="382"/>
      <c r="Z31" s="383"/>
      <c r="AA31" s="328"/>
      <c r="AB31" s="327"/>
      <c r="AC31" s="424"/>
      <c r="AD31" s="98" t="s">
        <v>88</v>
      </c>
      <c r="AE31" s="382">
        <v>0.5</v>
      </c>
      <c r="AF31" s="382"/>
      <c r="AG31" s="384"/>
      <c r="AH31" s="329"/>
      <c r="AI31" s="330"/>
      <c r="AJ31" s="326">
        <f t="shared" si="10"/>
        <v>0.38</v>
      </c>
    </row>
    <row r="32" spans="1:36" s="264" customFormat="1" ht="18.75" customHeight="1" thickBot="1">
      <c r="A32" s="437"/>
      <c r="B32" s="171" t="s">
        <v>89</v>
      </c>
      <c r="C32" s="378">
        <f>C26*70+C27*75+C28*25+C29*45+C31*120+C30*60</f>
        <v>291</v>
      </c>
      <c r="D32" s="378"/>
      <c r="E32" s="379"/>
      <c r="F32" s="110"/>
      <c r="G32" s="111"/>
      <c r="H32" s="429"/>
      <c r="I32" s="109" t="s">
        <v>89</v>
      </c>
      <c r="J32" s="378">
        <f>J26*70+J27*75+J28*25+J29*45+J31*120+J30*60</f>
        <v>238.5</v>
      </c>
      <c r="K32" s="378"/>
      <c r="L32" s="379"/>
      <c r="M32" s="112"/>
      <c r="N32" s="111"/>
      <c r="O32" s="432"/>
      <c r="P32" s="109" t="s">
        <v>89</v>
      </c>
      <c r="Q32" s="378">
        <f>Q26*70+Q27*75+Q28*25+Q29*45+Q31*120+Q30*60</f>
        <v>329.5</v>
      </c>
      <c r="R32" s="378"/>
      <c r="S32" s="379"/>
      <c r="T32" s="112"/>
      <c r="U32" s="113"/>
      <c r="V32" s="425"/>
      <c r="W32" s="109" t="s">
        <v>89</v>
      </c>
      <c r="X32" s="378">
        <f>X26*70+X27*75+X28*25+X29*45+X31*120+X30*60</f>
        <v>323</v>
      </c>
      <c r="Y32" s="378"/>
      <c r="Z32" s="379"/>
      <c r="AA32" s="114"/>
      <c r="AB32" s="111"/>
      <c r="AC32" s="425"/>
      <c r="AD32" s="109" t="s">
        <v>89</v>
      </c>
      <c r="AE32" s="378">
        <f>AE26*70+AE27*75+AE28*25+AE29*45+AE31*120+AE30*60</f>
        <v>322.5</v>
      </c>
      <c r="AF32" s="378"/>
      <c r="AG32" s="434"/>
      <c r="AH32" s="331"/>
      <c r="AI32" s="332"/>
      <c r="AJ32" s="326">
        <f t="shared" si="10"/>
        <v>300.9</v>
      </c>
    </row>
    <row r="33" spans="1:34" s="21" customFormat="1" ht="18.75" customHeight="1">
      <c r="A33" s="333"/>
      <c r="D33" s="334"/>
      <c r="E33" s="334"/>
      <c r="F33" s="335"/>
      <c r="H33" s="336"/>
      <c r="K33" s="334"/>
      <c r="L33" s="334"/>
      <c r="M33" s="335"/>
      <c r="O33" s="337"/>
      <c r="P33" s="333"/>
      <c r="Q33" s="333"/>
      <c r="R33" s="338"/>
      <c r="S33" s="338"/>
      <c r="T33" s="335"/>
      <c r="V33" s="336"/>
      <c r="W33" s="333"/>
      <c r="X33" s="333"/>
      <c r="Y33" s="338"/>
      <c r="Z33" s="338"/>
      <c r="AA33" s="335"/>
      <c r="AC33" s="333"/>
      <c r="AF33" s="334"/>
      <c r="AG33" s="334"/>
      <c r="AH33" s="335"/>
    </row>
    <row r="34" spans="1:45" s="21" customFormat="1" ht="19.5" customHeight="1">
      <c r="A34" s="433" t="s">
        <v>51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339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</row>
    <row r="35" spans="1:45" s="21" customFormat="1" ht="22.5" customHeight="1">
      <c r="A35" s="422" t="s">
        <v>62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339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</row>
    <row r="36" ht="22.5" customHeight="1"/>
  </sheetData>
  <sheetProtection selectLockedCells="1" selectUnlockedCells="1"/>
  <mergeCells count="88">
    <mergeCell ref="A1:L1"/>
    <mergeCell ref="B14:E14"/>
    <mergeCell ref="B15:E15"/>
    <mergeCell ref="W23:Z23"/>
    <mergeCell ref="X26:Z26"/>
    <mergeCell ref="X27:Z27"/>
    <mergeCell ref="A6:A16"/>
    <mergeCell ref="H6:H16"/>
    <mergeCell ref="O6:O16"/>
    <mergeCell ref="V6:V16"/>
    <mergeCell ref="C32:E32"/>
    <mergeCell ref="J32:L32"/>
    <mergeCell ref="AE32:AG32"/>
    <mergeCell ref="A26:A32"/>
    <mergeCell ref="A18:A25"/>
    <mergeCell ref="H18:H25"/>
    <mergeCell ref="O18:O25"/>
    <mergeCell ref="C27:E27"/>
    <mergeCell ref="C31:E31"/>
    <mergeCell ref="T26:U26"/>
    <mergeCell ref="A35:AH35"/>
    <mergeCell ref="V26:V32"/>
    <mergeCell ref="AA26:AB26"/>
    <mergeCell ref="AC26:AC32"/>
    <mergeCell ref="AH26:AI26"/>
    <mergeCell ref="F26:G26"/>
    <mergeCell ref="H26:H32"/>
    <mergeCell ref="M26:N26"/>
    <mergeCell ref="O26:O32"/>
    <mergeCell ref="A34:AH34"/>
    <mergeCell ref="AP7:AP17"/>
    <mergeCell ref="A17:E17"/>
    <mergeCell ref="H17:L17"/>
    <mergeCell ref="O17:S17"/>
    <mergeCell ref="V17:Z17"/>
    <mergeCell ref="V5:Z5"/>
    <mergeCell ref="A5:E5"/>
    <mergeCell ref="B4:E4"/>
    <mergeCell ref="I4:L4"/>
    <mergeCell ref="A2:A4"/>
    <mergeCell ref="B2:E2"/>
    <mergeCell ref="W2:Z2"/>
    <mergeCell ref="P4:S4"/>
    <mergeCell ref="H2:H4"/>
    <mergeCell ref="W4:Z4"/>
    <mergeCell ref="AC2:AC4"/>
    <mergeCell ref="I2:L2"/>
    <mergeCell ref="O2:O4"/>
    <mergeCell ref="P2:S2"/>
    <mergeCell ref="V2:V4"/>
    <mergeCell ref="AD4:AG4"/>
    <mergeCell ref="AD2:AG2"/>
    <mergeCell ref="AE26:AG26"/>
    <mergeCell ref="J29:L29"/>
    <mergeCell ref="AE29:AG29"/>
    <mergeCell ref="AE28:AG28"/>
    <mergeCell ref="J27:L27"/>
    <mergeCell ref="J26:L26"/>
    <mergeCell ref="C26:E26"/>
    <mergeCell ref="C29:E29"/>
    <mergeCell ref="H5:L5"/>
    <mergeCell ref="V18:V25"/>
    <mergeCell ref="AC18:AC25"/>
    <mergeCell ref="AC5:AG5"/>
    <mergeCell ref="O5:S5"/>
    <mergeCell ref="AC6:AC16"/>
    <mergeCell ref="AC17:AG17"/>
    <mergeCell ref="AE27:AG27"/>
    <mergeCell ref="J31:L31"/>
    <mergeCell ref="AE31:AG31"/>
    <mergeCell ref="C30:E30"/>
    <mergeCell ref="J30:L30"/>
    <mergeCell ref="X28:Z28"/>
    <mergeCell ref="X29:Z29"/>
    <mergeCell ref="X30:Z30"/>
    <mergeCell ref="C28:E28"/>
    <mergeCell ref="J28:L28"/>
    <mergeCell ref="AE30:AG30"/>
    <mergeCell ref="P1:AD1"/>
    <mergeCell ref="Q32:S32"/>
    <mergeCell ref="Q26:S26"/>
    <mergeCell ref="Q27:S27"/>
    <mergeCell ref="Q28:S28"/>
    <mergeCell ref="Q29:S29"/>
    <mergeCell ref="Q30:S30"/>
    <mergeCell ref="Q31:S31"/>
    <mergeCell ref="X31:Z31"/>
    <mergeCell ref="X32:Z32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66"/>
  <sheetViews>
    <sheetView view="pageBreakPreview" zoomScale="90" zoomScaleNormal="75" zoomScaleSheetLayoutView="90" zoomScalePageLayoutView="0" workbookViewId="0" topLeftCell="A1">
      <selection activeCell="I8" sqref="I8"/>
    </sheetView>
  </sheetViews>
  <sheetFormatPr defaultColWidth="6.125" defaultRowHeight="22.5" customHeight="1"/>
  <cols>
    <col min="1" max="1" width="3.75390625" style="66" customWidth="1"/>
    <col min="2" max="2" width="18.375" style="67" customWidth="1"/>
    <col min="3" max="3" width="6.125" style="67" hidden="1" customWidth="1"/>
    <col min="4" max="5" width="5.625" style="67" customWidth="1"/>
    <col min="6" max="6" width="6.125" style="68" hidden="1" customWidth="1"/>
    <col min="7" max="7" width="6.125" style="69" hidden="1" customWidth="1"/>
    <col min="8" max="8" width="3.625" style="66" customWidth="1"/>
    <col min="9" max="9" width="21.25390625" style="67" customWidth="1"/>
    <col min="10" max="10" width="6.125" style="67" hidden="1" customWidth="1"/>
    <col min="11" max="12" width="5.625" style="67" customWidth="1"/>
    <col min="13" max="13" width="6.125" style="68" hidden="1" customWidth="1"/>
    <col min="14" max="14" width="6.125" style="69" hidden="1" customWidth="1"/>
    <col min="15" max="15" width="3.875" style="66" customWidth="1"/>
    <col min="16" max="16" width="16.375" style="67" customWidth="1"/>
    <col min="17" max="17" width="6.125" style="67" hidden="1" customWidth="1"/>
    <col min="18" max="19" width="5.625" style="67" customWidth="1"/>
    <col min="20" max="20" width="6.125" style="68" hidden="1" customWidth="1"/>
    <col min="21" max="21" width="6.125" style="69" hidden="1" customWidth="1"/>
    <col min="22" max="22" width="3.625" style="70" customWidth="1"/>
    <col min="23" max="23" width="16.125" style="67" customWidth="1"/>
    <col min="24" max="24" width="6.125" style="67" hidden="1" customWidth="1"/>
    <col min="25" max="26" width="5.625" style="67" customWidth="1"/>
    <col min="27" max="27" width="6.125" style="68" hidden="1" customWidth="1"/>
    <col min="28" max="28" width="6.125" style="69" hidden="1" customWidth="1"/>
    <col min="29" max="29" width="4.125" style="66" customWidth="1"/>
    <col min="30" max="30" width="16.125" style="67" customWidth="1"/>
    <col min="31" max="31" width="6.125" style="67" hidden="1" customWidth="1"/>
    <col min="32" max="33" width="5.625" style="67" customWidth="1"/>
    <col min="34" max="34" width="6.125" style="71" hidden="1" customWidth="1"/>
    <col min="35" max="35" width="6.125" style="69" hidden="1" customWidth="1"/>
    <col min="36" max="36" width="10.375" style="72" customWidth="1"/>
    <col min="37" max="45" width="6.125" style="72" customWidth="1"/>
    <col min="46" max="47" width="6.25390625" style="72" bestFit="1" customWidth="1"/>
    <col min="48" max="48" width="6.125" style="72" customWidth="1"/>
    <col min="49" max="49" width="6.25390625" style="72" bestFit="1" customWidth="1"/>
    <col min="50" max="50" width="10.875" style="72" bestFit="1" customWidth="1"/>
    <col min="51" max="16384" width="6.125" style="72" customWidth="1"/>
  </cols>
  <sheetData>
    <row r="1" spans="1:35" s="91" customFormat="1" ht="30" customHeight="1">
      <c r="A1" s="441" t="str">
        <f>'第一周'!A1</f>
        <v>僑愛國民小學112學年度上學期第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211">
        <f>'第一周'!O1+1</f>
        <v>11</v>
      </c>
      <c r="P1" s="377" t="s">
        <v>271</v>
      </c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90"/>
      <c r="AF1" s="90">
        <v>74</v>
      </c>
      <c r="AG1" s="90"/>
      <c r="AH1" s="90"/>
      <c r="AI1" s="90"/>
    </row>
    <row r="2" spans="1:35" s="40" customFormat="1" ht="18.75" customHeight="1">
      <c r="A2" s="472" t="s">
        <v>24</v>
      </c>
      <c r="B2" s="473">
        <f>'第一周'!B2+7</f>
        <v>45236</v>
      </c>
      <c r="C2" s="473"/>
      <c r="D2" s="473"/>
      <c r="E2" s="473"/>
      <c r="F2" s="31"/>
      <c r="G2" s="32"/>
      <c r="H2" s="472" t="s">
        <v>24</v>
      </c>
      <c r="I2" s="475">
        <f>B2+1</f>
        <v>45237</v>
      </c>
      <c r="J2" s="475"/>
      <c r="K2" s="475"/>
      <c r="L2" s="475"/>
      <c r="M2" s="33"/>
      <c r="N2" s="34"/>
      <c r="O2" s="477" t="s">
        <v>24</v>
      </c>
      <c r="P2" s="476">
        <f>I2+1</f>
        <v>45238</v>
      </c>
      <c r="Q2" s="476"/>
      <c r="R2" s="476"/>
      <c r="S2" s="476"/>
      <c r="T2" s="35"/>
      <c r="U2" s="36"/>
      <c r="V2" s="477" t="s">
        <v>24</v>
      </c>
      <c r="W2" s="482">
        <f>P2+1</f>
        <v>45239</v>
      </c>
      <c r="X2" s="482"/>
      <c r="Y2" s="482"/>
      <c r="Z2" s="482"/>
      <c r="AA2" s="37"/>
      <c r="AB2" s="38"/>
      <c r="AC2" s="477" t="s">
        <v>24</v>
      </c>
      <c r="AD2" s="492">
        <f>W2+1</f>
        <v>45240</v>
      </c>
      <c r="AE2" s="492"/>
      <c r="AF2" s="492"/>
      <c r="AG2" s="493"/>
      <c r="AH2" s="174"/>
      <c r="AI2" s="39"/>
    </row>
    <row r="3" spans="1:35" s="40" customFormat="1" ht="18.75" customHeight="1">
      <c r="A3" s="472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472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477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477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477"/>
      <c r="AD3" s="41" t="s">
        <v>25</v>
      </c>
      <c r="AE3" s="41" t="s">
        <v>26</v>
      </c>
      <c r="AF3" s="42" t="s">
        <v>27</v>
      </c>
      <c r="AG3" s="175" t="s">
        <v>28</v>
      </c>
      <c r="AH3" s="53" t="s">
        <v>29</v>
      </c>
      <c r="AI3" s="44" t="s">
        <v>30</v>
      </c>
    </row>
    <row r="4" spans="1:35" s="49" customFormat="1" ht="18.75" customHeight="1" hidden="1">
      <c r="A4" s="472"/>
      <c r="B4" s="474" t="s">
        <v>31</v>
      </c>
      <c r="C4" s="474"/>
      <c r="D4" s="474"/>
      <c r="E4" s="474"/>
      <c r="F4" s="45"/>
      <c r="G4" s="46"/>
      <c r="H4" s="472"/>
      <c r="I4" s="474" t="s">
        <v>32</v>
      </c>
      <c r="J4" s="474"/>
      <c r="K4" s="474"/>
      <c r="L4" s="474"/>
      <c r="M4" s="45"/>
      <c r="N4" s="47"/>
      <c r="O4" s="477"/>
      <c r="P4" s="474" t="s">
        <v>33</v>
      </c>
      <c r="Q4" s="474"/>
      <c r="R4" s="474"/>
      <c r="S4" s="474"/>
      <c r="T4" s="43"/>
      <c r="U4" s="48"/>
      <c r="V4" s="477"/>
      <c r="W4" s="474" t="s">
        <v>34</v>
      </c>
      <c r="X4" s="474"/>
      <c r="Y4" s="474"/>
      <c r="Z4" s="474"/>
      <c r="AA4" s="45"/>
      <c r="AB4" s="47"/>
      <c r="AC4" s="477"/>
      <c r="AD4" s="494" t="s">
        <v>35</v>
      </c>
      <c r="AE4" s="494"/>
      <c r="AF4" s="494"/>
      <c r="AG4" s="495"/>
      <c r="AH4" s="45"/>
      <c r="AI4" s="47"/>
    </row>
    <row r="5" spans="1:35" s="49" customFormat="1" ht="18.75" customHeight="1">
      <c r="A5" s="396" t="s">
        <v>36</v>
      </c>
      <c r="B5" s="394"/>
      <c r="C5" s="394"/>
      <c r="D5" s="394"/>
      <c r="E5" s="394"/>
      <c r="F5" s="86"/>
      <c r="G5" s="87"/>
      <c r="H5" s="396" t="s">
        <v>36</v>
      </c>
      <c r="I5" s="394"/>
      <c r="J5" s="394"/>
      <c r="K5" s="394"/>
      <c r="L5" s="394"/>
      <c r="M5" s="86"/>
      <c r="N5" s="88"/>
      <c r="O5" s="387" t="s">
        <v>36</v>
      </c>
      <c r="P5" s="394"/>
      <c r="Q5" s="394"/>
      <c r="R5" s="394"/>
      <c r="S5" s="394"/>
      <c r="T5" s="86"/>
      <c r="U5" s="88"/>
      <c r="V5" s="387" t="s">
        <v>36</v>
      </c>
      <c r="W5" s="394"/>
      <c r="X5" s="394"/>
      <c r="Y5" s="394"/>
      <c r="Z5" s="394"/>
      <c r="AA5" s="86"/>
      <c r="AB5" s="88"/>
      <c r="AC5" s="387" t="s">
        <v>36</v>
      </c>
      <c r="AD5" s="394"/>
      <c r="AE5" s="394"/>
      <c r="AF5" s="394"/>
      <c r="AG5" s="395"/>
      <c r="AH5" s="45"/>
      <c r="AI5" s="47"/>
    </row>
    <row r="6" spans="1:35" s="49" customFormat="1" ht="18.75" customHeight="1">
      <c r="A6" s="466" t="s">
        <v>196</v>
      </c>
      <c r="B6" s="139" t="s">
        <v>197</v>
      </c>
      <c r="C6" s="139">
        <v>1</v>
      </c>
      <c r="D6" s="74">
        <f>ROUND($AF$1*C6,0)</f>
        <v>74</v>
      </c>
      <c r="E6" s="77" t="s">
        <v>52</v>
      </c>
      <c r="F6" s="152">
        <v>10</v>
      </c>
      <c r="G6" s="51">
        <f aca="true" t="shared" si="0" ref="G6:G12">D6*F6</f>
        <v>740</v>
      </c>
      <c r="H6" s="468" t="s">
        <v>142</v>
      </c>
      <c r="I6" s="23" t="s">
        <v>143</v>
      </c>
      <c r="J6" s="23">
        <v>27</v>
      </c>
      <c r="K6" s="74">
        <f>ROUND($AF$1*J6/500,1)</f>
        <v>4</v>
      </c>
      <c r="L6" s="73" t="s">
        <v>20</v>
      </c>
      <c r="M6" s="152">
        <v>40</v>
      </c>
      <c r="N6" s="60">
        <f aca="true" t="shared" si="1" ref="N6:N12">K6*M6</f>
        <v>160</v>
      </c>
      <c r="O6" s="463" t="s">
        <v>53</v>
      </c>
      <c r="P6" s="23" t="s">
        <v>54</v>
      </c>
      <c r="Q6" s="24">
        <v>1.5</v>
      </c>
      <c r="R6" s="74">
        <f>ROUND($AF$1*Q6,0)</f>
        <v>111</v>
      </c>
      <c r="S6" s="25" t="s">
        <v>15</v>
      </c>
      <c r="T6" s="152">
        <v>9</v>
      </c>
      <c r="U6" s="51">
        <f aca="true" t="shared" si="2" ref="U6:U12">R6*T6</f>
        <v>999</v>
      </c>
      <c r="V6" s="468" t="s">
        <v>184</v>
      </c>
      <c r="W6" s="23" t="s">
        <v>23</v>
      </c>
      <c r="X6" s="23">
        <v>8</v>
      </c>
      <c r="Y6" s="74">
        <f>ROUND($AF$1*X6/1000,1)</f>
        <v>0.6</v>
      </c>
      <c r="Z6" s="73" t="s">
        <v>0</v>
      </c>
      <c r="AA6" s="152">
        <v>49</v>
      </c>
      <c r="AB6" s="51">
        <f aca="true" t="shared" si="3" ref="AB6:AB12">Y6*AA6</f>
        <v>29.4</v>
      </c>
      <c r="AC6" s="468" t="s">
        <v>99</v>
      </c>
      <c r="AD6" s="52" t="s">
        <v>244</v>
      </c>
      <c r="AE6" s="52">
        <v>67</v>
      </c>
      <c r="AF6" s="74">
        <f>ROUND($AF$1*AE6/1000,1)</f>
        <v>5</v>
      </c>
      <c r="AG6" s="73" t="s">
        <v>0</v>
      </c>
      <c r="AH6" s="152">
        <v>38</v>
      </c>
      <c r="AI6" s="51">
        <f aca="true" t="shared" si="4" ref="AI6:AI13">AF6*AH6</f>
        <v>190</v>
      </c>
    </row>
    <row r="7" spans="1:35" s="49" customFormat="1" ht="18.75" customHeight="1">
      <c r="A7" s="467"/>
      <c r="B7" s="75" t="s">
        <v>265</v>
      </c>
      <c r="C7" s="54">
        <v>126</v>
      </c>
      <c r="D7" s="74">
        <f>ROUND($AF$1*C7/1000,0)</f>
        <v>9</v>
      </c>
      <c r="E7" s="74" t="s">
        <v>48</v>
      </c>
      <c r="F7" s="152">
        <v>75</v>
      </c>
      <c r="G7" s="51">
        <f>D7*F7</f>
        <v>675</v>
      </c>
      <c r="H7" s="469"/>
      <c r="I7" s="23" t="s">
        <v>144</v>
      </c>
      <c r="J7" s="23">
        <v>32</v>
      </c>
      <c r="K7" s="74" t="s">
        <v>21</v>
      </c>
      <c r="L7" s="73" t="s">
        <v>0</v>
      </c>
      <c r="M7" s="152">
        <v>214</v>
      </c>
      <c r="N7" s="60"/>
      <c r="O7" s="464"/>
      <c r="P7" s="23"/>
      <c r="Q7" s="24"/>
      <c r="R7" s="26"/>
      <c r="S7" s="27"/>
      <c r="T7" s="152"/>
      <c r="U7" s="51">
        <f t="shared" si="2"/>
        <v>0</v>
      </c>
      <c r="V7" s="469"/>
      <c r="W7" s="173" t="s">
        <v>16</v>
      </c>
      <c r="X7" s="23">
        <v>13</v>
      </c>
      <c r="Y7" s="74">
        <f>ROUND($AF$1*X7/311,0)</f>
        <v>3</v>
      </c>
      <c r="Z7" s="73" t="s">
        <v>19</v>
      </c>
      <c r="AA7" s="152">
        <v>65</v>
      </c>
      <c r="AB7" s="51">
        <f t="shared" si="3"/>
        <v>195</v>
      </c>
      <c r="AC7" s="469"/>
      <c r="AD7" s="52" t="s">
        <v>1</v>
      </c>
      <c r="AE7" s="52">
        <v>26.5</v>
      </c>
      <c r="AF7" s="74">
        <f>ROUND($AF$1*AE7/1000,1)</f>
        <v>2</v>
      </c>
      <c r="AG7" s="73" t="s">
        <v>0</v>
      </c>
      <c r="AH7" s="152">
        <v>139</v>
      </c>
      <c r="AI7" s="51">
        <f t="shared" si="4"/>
        <v>278</v>
      </c>
    </row>
    <row r="8" spans="1:50" s="49" customFormat="1" ht="18.75" customHeight="1">
      <c r="A8" s="467"/>
      <c r="B8" s="55"/>
      <c r="C8" s="55"/>
      <c r="D8" s="92"/>
      <c r="E8" s="92"/>
      <c r="F8" s="152"/>
      <c r="G8" s="51">
        <f t="shared" si="0"/>
        <v>0</v>
      </c>
      <c r="H8" s="469"/>
      <c r="I8" s="23" t="s">
        <v>145</v>
      </c>
      <c r="J8" s="23">
        <v>6</v>
      </c>
      <c r="K8" s="74">
        <f>ROUND($AF$1*J8/1000,1)</f>
        <v>0.4</v>
      </c>
      <c r="L8" s="73" t="s">
        <v>0</v>
      </c>
      <c r="M8" s="152">
        <v>211</v>
      </c>
      <c r="N8" s="60">
        <f t="shared" si="1"/>
        <v>84.4</v>
      </c>
      <c r="O8" s="464"/>
      <c r="P8" s="23" t="s">
        <v>38</v>
      </c>
      <c r="Q8" s="24">
        <v>30</v>
      </c>
      <c r="R8" s="74">
        <f>ROUND($AF$1*Q8/1000,1)</f>
        <v>2.2</v>
      </c>
      <c r="S8" s="73" t="s">
        <v>0</v>
      </c>
      <c r="T8" s="152">
        <v>107</v>
      </c>
      <c r="U8" s="51">
        <f t="shared" si="2"/>
        <v>235.4</v>
      </c>
      <c r="V8" s="469"/>
      <c r="W8" s="204" t="s">
        <v>38</v>
      </c>
      <c r="X8" s="204">
        <v>15</v>
      </c>
      <c r="Y8" s="74">
        <f>ROUND($AF$1*X8/1000,0)</f>
        <v>1</v>
      </c>
      <c r="Z8" s="73" t="s">
        <v>0</v>
      </c>
      <c r="AA8" s="152">
        <v>107</v>
      </c>
      <c r="AB8" s="51">
        <f t="shared" si="3"/>
        <v>107</v>
      </c>
      <c r="AC8" s="469"/>
      <c r="AD8" s="52" t="s">
        <v>63</v>
      </c>
      <c r="AE8" s="52">
        <v>8</v>
      </c>
      <c r="AF8" s="74">
        <f>ROUND($AF$1*AE8/1000,1)</f>
        <v>0.6</v>
      </c>
      <c r="AG8" s="73" t="s">
        <v>0</v>
      </c>
      <c r="AH8" s="152">
        <v>75</v>
      </c>
      <c r="AI8" s="51">
        <f t="shared" si="4"/>
        <v>45</v>
      </c>
      <c r="AR8" s="463" t="s">
        <v>53</v>
      </c>
      <c r="AS8" s="23" t="s">
        <v>54</v>
      </c>
      <c r="AT8" s="24">
        <v>1.5</v>
      </c>
      <c r="AU8" s="74">
        <v>90</v>
      </c>
      <c r="AV8" s="25" t="s">
        <v>15</v>
      </c>
      <c r="AW8" s="50">
        <v>65</v>
      </c>
      <c r="AX8" s="51"/>
    </row>
    <row r="9" spans="1:50" s="49" customFormat="1" ht="18.75" customHeight="1">
      <c r="A9" s="467"/>
      <c r="B9" s="55"/>
      <c r="C9" s="55"/>
      <c r="D9" s="92"/>
      <c r="E9" s="92"/>
      <c r="F9" s="152"/>
      <c r="G9" s="51">
        <f t="shared" si="0"/>
        <v>0</v>
      </c>
      <c r="H9" s="469"/>
      <c r="I9" s="23" t="s">
        <v>146</v>
      </c>
      <c r="J9" s="23">
        <v>32</v>
      </c>
      <c r="K9" s="74">
        <f>ROUND($AF$1*J9/1000,0)</f>
        <v>2</v>
      </c>
      <c r="L9" s="73" t="s">
        <v>0</v>
      </c>
      <c r="M9" s="152">
        <v>75</v>
      </c>
      <c r="N9" s="60">
        <f t="shared" si="1"/>
        <v>150</v>
      </c>
      <c r="O9" s="464"/>
      <c r="P9" s="23" t="s">
        <v>56</v>
      </c>
      <c r="Q9" s="23">
        <v>10</v>
      </c>
      <c r="R9" s="74">
        <f>ROUND($AF$1*Q9/150,0)</f>
        <v>5</v>
      </c>
      <c r="S9" s="25" t="s">
        <v>19</v>
      </c>
      <c r="T9" s="152">
        <v>65</v>
      </c>
      <c r="U9" s="51">
        <f t="shared" si="2"/>
        <v>325</v>
      </c>
      <c r="V9" s="469"/>
      <c r="W9" s="23" t="s">
        <v>96</v>
      </c>
      <c r="X9" s="23">
        <v>15</v>
      </c>
      <c r="Y9" s="74" t="s">
        <v>21</v>
      </c>
      <c r="Z9" s="73" t="s">
        <v>0</v>
      </c>
      <c r="AA9" s="152"/>
      <c r="AB9" s="51"/>
      <c r="AC9" s="469"/>
      <c r="AD9" s="23" t="s">
        <v>132</v>
      </c>
      <c r="AE9" s="52">
        <v>4</v>
      </c>
      <c r="AF9" s="74">
        <f>ROUND($AF$1*AE9/1000,1)</f>
        <v>0.3</v>
      </c>
      <c r="AG9" s="73" t="s">
        <v>0</v>
      </c>
      <c r="AH9" s="152">
        <v>135</v>
      </c>
      <c r="AI9" s="51">
        <f t="shared" si="4"/>
        <v>40.5</v>
      </c>
      <c r="AR9" s="464"/>
      <c r="AS9" s="23"/>
      <c r="AT9" s="24"/>
      <c r="AU9" s="26"/>
      <c r="AV9" s="27"/>
      <c r="AW9" s="50">
        <v>45</v>
      </c>
      <c r="AX9" s="51">
        <f>AU9*AW9</f>
        <v>0</v>
      </c>
    </row>
    <row r="10" spans="1:50" s="49" customFormat="1" ht="18.75" customHeight="1">
      <c r="A10" s="467"/>
      <c r="B10" s="55"/>
      <c r="C10" s="55"/>
      <c r="D10" s="142"/>
      <c r="E10" s="92"/>
      <c r="F10" s="152"/>
      <c r="G10" s="51">
        <f t="shared" si="0"/>
        <v>0</v>
      </c>
      <c r="H10" s="469"/>
      <c r="I10" s="23" t="s">
        <v>23</v>
      </c>
      <c r="J10" s="23">
        <v>14</v>
      </c>
      <c r="K10" s="74">
        <f>ROUND($AF$1*J10/1000,1)</f>
        <v>1</v>
      </c>
      <c r="L10" s="73" t="s">
        <v>0</v>
      </c>
      <c r="M10" s="152">
        <v>49</v>
      </c>
      <c r="N10" s="60">
        <f t="shared" si="1"/>
        <v>49</v>
      </c>
      <c r="O10" s="464"/>
      <c r="P10" s="23" t="s">
        <v>57</v>
      </c>
      <c r="Q10" s="24">
        <v>1</v>
      </c>
      <c r="R10" s="74">
        <f>ROUND($AF$1*Q10/1000,1)</f>
        <v>0.1</v>
      </c>
      <c r="S10" s="73" t="s">
        <v>0</v>
      </c>
      <c r="T10" s="152">
        <v>296</v>
      </c>
      <c r="U10" s="51">
        <f t="shared" si="2"/>
        <v>29.6</v>
      </c>
      <c r="V10" s="469"/>
      <c r="W10" s="23" t="s">
        <v>93</v>
      </c>
      <c r="X10" s="23">
        <v>1.5</v>
      </c>
      <c r="Y10" s="74" t="s">
        <v>21</v>
      </c>
      <c r="Z10" s="73" t="s">
        <v>0</v>
      </c>
      <c r="AA10" s="152"/>
      <c r="AB10" s="51"/>
      <c r="AC10" s="469"/>
      <c r="AD10" s="52" t="s">
        <v>133</v>
      </c>
      <c r="AE10" s="52">
        <v>10</v>
      </c>
      <c r="AF10" s="74" t="s">
        <v>21</v>
      </c>
      <c r="AG10" s="73" t="s">
        <v>0</v>
      </c>
      <c r="AH10" s="152"/>
      <c r="AI10" s="51" t="e">
        <f t="shared" si="4"/>
        <v>#VALUE!</v>
      </c>
      <c r="AR10" s="464"/>
      <c r="AS10" s="23" t="s">
        <v>38</v>
      </c>
      <c r="AT10" s="24">
        <v>20</v>
      </c>
      <c r="AU10" s="74">
        <v>40</v>
      </c>
      <c r="AV10" s="25" t="s">
        <v>55</v>
      </c>
      <c r="AW10" s="50"/>
      <c r="AX10" s="51">
        <f>AU10*AW10</f>
        <v>0</v>
      </c>
    </row>
    <row r="11" spans="1:50" s="49" customFormat="1" ht="18.75" customHeight="1">
      <c r="A11" s="467"/>
      <c r="B11" s="55"/>
      <c r="C11" s="55"/>
      <c r="D11" s="142"/>
      <c r="E11" s="92"/>
      <c r="F11" s="152"/>
      <c r="G11" s="51">
        <f t="shared" si="0"/>
        <v>0</v>
      </c>
      <c r="H11" s="469"/>
      <c r="I11" s="58" t="s">
        <v>147</v>
      </c>
      <c r="J11" s="23">
        <v>5</v>
      </c>
      <c r="K11" s="74">
        <v>1</v>
      </c>
      <c r="L11" s="73" t="s">
        <v>19</v>
      </c>
      <c r="M11" s="152">
        <v>65</v>
      </c>
      <c r="N11" s="60">
        <f t="shared" si="1"/>
        <v>65</v>
      </c>
      <c r="O11" s="464"/>
      <c r="P11" s="23" t="s">
        <v>23</v>
      </c>
      <c r="Q11" s="23">
        <v>14</v>
      </c>
      <c r="R11" s="74">
        <f>ROUND($AF$1*Q11/1000,1)</f>
        <v>1</v>
      </c>
      <c r="S11" s="73" t="s">
        <v>0</v>
      </c>
      <c r="T11" s="152">
        <v>49</v>
      </c>
      <c r="U11" s="51">
        <f t="shared" si="2"/>
        <v>49</v>
      </c>
      <c r="V11" s="469"/>
      <c r="W11" s="23" t="s">
        <v>185</v>
      </c>
      <c r="X11" s="23">
        <v>10</v>
      </c>
      <c r="Y11" s="74">
        <f>ROUND($AF$1*X11/1000,1)</f>
        <v>0.7</v>
      </c>
      <c r="Z11" s="73" t="s">
        <v>0</v>
      </c>
      <c r="AA11" s="152">
        <v>580</v>
      </c>
      <c r="AB11" s="51">
        <f t="shared" si="3"/>
        <v>406</v>
      </c>
      <c r="AC11" s="469"/>
      <c r="AD11" s="52" t="s">
        <v>23</v>
      </c>
      <c r="AE11" s="52">
        <v>8</v>
      </c>
      <c r="AF11" s="74">
        <f>ROUND($AF$1*AE11/1000,1)</f>
        <v>0.6</v>
      </c>
      <c r="AG11" s="73" t="s">
        <v>0</v>
      </c>
      <c r="AH11" s="152">
        <v>49</v>
      </c>
      <c r="AI11" s="51">
        <f t="shared" si="4"/>
        <v>29.4</v>
      </c>
      <c r="AR11" s="464"/>
      <c r="AS11" s="23" t="s">
        <v>56</v>
      </c>
      <c r="AT11" s="23">
        <v>10</v>
      </c>
      <c r="AU11" s="74">
        <v>4</v>
      </c>
      <c r="AV11" s="25" t="s">
        <v>19</v>
      </c>
      <c r="AW11" s="50">
        <v>125</v>
      </c>
      <c r="AX11" s="51">
        <f>AU11*AW11</f>
        <v>500</v>
      </c>
    </row>
    <row r="12" spans="1:50" s="49" customFormat="1" ht="18.75" customHeight="1">
      <c r="A12" s="467"/>
      <c r="B12" s="55"/>
      <c r="C12" s="55"/>
      <c r="D12" s="92"/>
      <c r="E12" s="92"/>
      <c r="F12" s="152"/>
      <c r="G12" s="51">
        <f t="shared" si="0"/>
        <v>0</v>
      </c>
      <c r="H12" s="469"/>
      <c r="I12" s="58" t="s">
        <v>125</v>
      </c>
      <c r="J12" s="23">
        <v>20</v>
      </c>
      <c r="K12" s="74">
        <f>ROUND($AF$1*J12/1000,1)</f>
        <v>1.5</v>
      </c>
      <c r="L12" s="73" t="s">
        <v>0</v>
      </c>
      <c r="M12" s="152">
        <v>200</v>
      </c>
      <c r="N12" s="60">
        <f t="shared" si="1"/>
        <v>300</v>
      </c>
      <c r="O12" s="464"/>
      <c r="P12" s="28" t="s">
        <v>284</v>
      </c>
      <c r="Q12" s="29">
        <v>120</v>
      </c>
      <c r="R12" s="74">
        <f>ROUND($AF$1*Q12/1000,0)</f>
        <v>9</v>
      </c>
      <c r="S12" s="73" t="s">
        <v>19</v>
      </c>
      <c r="T12" s="152">
        <v>45</v>
      </c>
      <c r="U12" s="51">
        <f t="shared" si="2"/>
        <v>405</v>
      </c>
      <c r="V12" s="469"/>
      <c r="W12" s="58" t="s">
        <v>63</v>
      </c>
      <c r="X12" s="23">
        <v>12</v>
      </c>
      <c r="Y12" s="74">
        <f>ROUND($AF$1*X12/1000,1)</f>
        <v>0.9</v>
      </c>
      <c r="Z12" s="73" t="s">
        <v>0</v>
      </c>
      <c r="AA12" s="152">
        <v>75</v>
      </c>
      <c r="AB12" s="51">
        <f t="shared" si="3"/>
        <v>67.5</v>
      </c>
      <c r="AC12" s="469"/>
      <c r="AD12" s="23"/>
      <c r="AE12" s="23"/>
      <c r="AF12" s="51"/>
      <c r="AG12" s="60"/>
      <c r="AH12" s="152"/>
      <c r="AI12" s="51">
        <f t="shared" si="4"/>
        <v>0</v>
      </c>
      <c r="AR12" s="464"/>
      <c r="AS12" s="23" t="s">
        <v>57</v>
      </c>
      <c r="AT12" s="24">
        <v>1</v>
      </c>
      <c r="AU12" s="74">
        <f>ROUND($AI$1*AT12/1000,1)</f>
        <v>0</v>
      </c>
      <c r="AV12" s="73" t="s">
        <v>0</v>
      </c>
      <c r="AW12" s="50"/>
      <c r="AX12" s="51">
        <f>AU12*AW12</f>
        <v>0</v>
      </c>
    </row>
    <row r="13" spans="1:50" s="49" customFormat="1" ht="18.75" customHeight="1">
      <c r="A13" s="467"/>
      <c r="B13" s="55"/>
      <c r="C13" s="55"/>
      <c r="D13" s="92"/>
      <c r="E13" s="92"/>
      <c r="F13" s="152"/>
      <c r="G13" s="51"/>
      <c r="H13" s="469"/>
      <c r="I13" s="23" t="s">
        <v>126</v>
      </c>
      <c r="J13" s="58">
        <v>0.1</v>
      </c>
      <c r="K13" s="74" t="s">
        <v>21</v>
      </c>
      <c r="L13" s="73" t="s">
        <v>19</v>
      </c>
      <c r="M13" s="152"/>
      <c r="N13" s="60"/>
      <c r="O13" s="464"/>
      <c r="P13" s="30"/>
      <c r="Q13" s="30"/>
      <c r="R13" s="26"/>
      <c r="S13" s="27"/>
      <c r="T13" s="152"/>
      <c r="U13" s="51"/>
      <c r="V13" s="469"/>
      <c r="W13" s="58"/>
      <c r="X13" s="58"/>
      <c r="Y13" s="74"/>
      <c r="Z13" s="73"/>
      <c r="AA13" s="152"/>
      <c r="AB13" s="51"/>
      <c r="AC13" s="469"/>
      <c r="AD13" s="23"/>
      <c r="AE13" s="23"/>
      <c r="AF13" s="92"/>
      <c r="AG13" s="93"/>
      <c r="AH13" s="152"/>
      <c r="AI13" s="51">
        <f t="shared" si="4"/>
        <v>0</v>
      </c>
      <c r="AR13" s="464"/>
      <c r="AS13" s="23" t="s">
        <v>37</v>
      </c>
      <c r="AT13" s="23">
        <v>15</v>
      </c>
      <c r="AU13" s="74">
        <v>0.6</v>
      </c>
      <c r="AV13" s="73" t="s">
        <v>0</v>
      </c>
      <c r="AW13" s="50"/>
      <c r="AX13" s="51">
        <f>AU13*AW13</f>
        <v>0</v>
      </c>
    </row>
    <row r="14" spans="1:50" s="49" customFormat="1" ht="18.75" customHeight="1">
      <c r="A14" s="467"/>
      <c r="B14" s="143"/>
      <c r="C14" s="143"/>
      <c r="D14" s="92"/>
      <c r="E14" s="92"/>
      <c r="F14" s="152"/>
      <c r="G14" s="51"/>
      <c r="H14" s="469"/>
      <c r="I14" s="23"/>
      <c r="J14" s="58"/>
      <c r="K14" s="74"/>
      <c r="L14" s="73"/>
      <c r="M14" s="152"/>
      <c r="N14" s="51"/>
      <c r="O14" s="464"/>
      <c r="P14" s="30"/>
      <c r="Q14" s="30"/>
      <c r="R14" s="26"/>
      <c r="S14" s="27"/>
      <c r="T14" s="152"/>
      <c r="U14" s="51"/>
      <c r="V14" s="469"/>
      <c r="W14" s="58"/>
      <c r="X14" s="58"/>
      <c r="Y14" s="74"/>
      <c r="Z14" s="73"/>
      <c r="AA14" s="152"/>
      <c r="AB14" s="51"/>
      <c r="AC14" s="469"/>
      <c r="AD14" s="23"/>
      <c r="AE14" s="23"/>
      <c r="AF14" s="74"/>
      <c r="AG14" s="73"/>
      <c r="AH14" s="152"/>
      <c r="AI14" s="51"/>
      <c r="AR14" s="464"/>
      <c r="AS14" s="28" t="s">
        <v>58</v>
      </c>
      <c r="AT14" s="29">
        <v>1</v>
      </c>
      <c r="AU14" s="74">
        <v>4</v>
      </c>
      <c r="AV14" s="73" t="s">
        <v>19</v>
      </c>
      <c r="AW14" s="50"/>
      <c r="AX14" s="51"/>
    </row>
    <row r="15" spans="1:50" s="40" customFormat="1" ht="18.75" customHeight="1">
      <c r="A15" s="467"/>
      <c r="B15" s="143"/>
      <c r="C15" s="143"/>
      <c r="D15" s="92"/>
      <c r="E15" s="92"/>
      <c r="F15" s="152"/>
      <c r="G15" s="51"/>
      <c r="H15" s="469"/>
      <c r="I15" s="23"/>
      <c r="J15" s="23"/>
      <c r="K15" s="74"/>
      <c r="L15" s="73"/>
      <c r="M15" s="152"/>
      <c r="N15" s="51"/>
      <c r="O15" s="464"/>
      <c r="P15" s="24"/>
      <c r="Q15" s="24"/>
      <c r="R15" s="26"/>
      <c r="S15" s="27"/>
      <c r="T15" s="152"/>
      <c r="U15" s="51"/>
      <c r="V15" s="469"/>
      <c r="W15" s="23"/>
      <c r="X15" s="23"/>
      <c r="Y15" s="74"/>
      <c r="Z15" s="73"/>
      <c r="AA15" s="152"/>
      <c r="AB15" s="51"/>
      <c r="AC15" s="469"/>
      <c r="AD15" s="23"/>
      <c r="AE15" s="23"/>
      <c r="AF15" s="92"/>
      <c r="AG15" s="93"/>
      <c r="AH15" s="152"/>
      <c r="AI15" s="51"/>
      <c r="AR15" s="464"/>
      <c r="AS15" s="30"/>
      <c r="AT15" s="30"/>
      <c r="AU15" s="26"/>
      <c r="AV15" s="27"/>
      <c r="AW15" s="50"/>
      <c r="AX15" s="51"/>
    </row>
    <row r="16" spans="1:50" s="49" customFormat="1" ht="18.75" customHeight="1">
      <c r="A16" s="470" t="s">
        <v>39</v>
      </c>
      <c r="B16" s="471"/>
      <c r="C16" s="471"/>
      <c r="D16" s="471"/>
      <c r="E16" s="471"/>
      <c r="F16" s="86"/>
      <c r="G16" s="87"/>
      <c r="H16" s="398" t="s">
        <v>39</v>
      </c>
      <c r="I16" s="398"/>
      <c r="J16" s="398"/>
      <c r="K16" s="398"/>
      <c r="L16" s="398"/>
      <c r="M16" s="86"/>
      <c r="N16" s="87"/>
      <c r="O16" s="398" t="s">
        <v>39</v>
      </c>
      <c r="P16" s="398"/>
      <c r="Q16" s="398"/>
      <c r="R16" s="398"/>
      <c r="S16" s="398"/>
      <c r="T16" s="86"/>
      <c r="U16" s="87"/>
      <c r="V16" s="398" t="s">
        <v>39</v>
      </c>
      <c r="W16" s="496"/>
      <c r="X16" s="496"/>
      <c r="Y16" s="496"/>
      <c r="Z16" s="496"/>
      <c r="AA16" s="86"/>
      <c r="AB16" s="87"/>
      <c r="AC16" s="420" t="s">
        <v>39</v>
      </c>
      <c r="AD16" s="421"/>
      <c r="AE16" s="421"/>
      <c r="AF16" s="421"/>
      <c r="AG16" s="462"/>
      <c r="AH16" s="346"/>
      <c r="AI16" s="87"/>
      <c r="AR16" s="464"/>
      <c r="AS16" s="30"/>
      <c r="AT16" s="30"/>
      <c r="AU16" s="26"/>
      <c r="AV16" s="27"/>
      <c r="AW16" s="50"/>
      <c r="AX16" s="51"/>
    </row>
    <row r="17" spans="1:50" s="49" customFormat="1" ht="18.75" customHeight="1">
      <c r="A17" s="487" t="s">
        <v>292</v>
      </c>
      <c r="B17" s="149" t="s">
        <v>289</v>
      </c>
      <c r="C17" s="149">
        <v>14</v>
      </c>
      <c r="D17" s="74">
        <f>ROUND($AF$1*C17/1000,1)</f>
        <v>1</v>
      </c>
      <c r="E17" s="73" t="s">
        <v>0</v>
      </c>
      <c r="F17" s="50">
        <v>25</v>
      </c>
      <c r="G17" s="51">
        <f>D17*F17</f>
        <v>25</v>
      </c>
      <c r="H17" s="463" t="s">
        <v>91</v>
      </c>
      <c r="I17" s="57" t="s">
        <v>171</v>
      </c>
      <c r="J17" s="57">
        <v>41</v>
      </c>
      <c r="K17" s="74">
        <f>ROUND($AF$1*J17/1000,1)</f>
        <v>3</v>
      </c>
      <c r="L17" s="73" t="s">
        <v>0</v>
      </c>
      <c r="M17" s="50">
        <v>200</v>
      </c>
      <c r="N17" s="51">
        <f>K17*M17</f>
        <v>600</v>
      </c>
      <c r="O17" s="479" t="s">
        <v>112</v>
      </c>
      <c r="P17" s="76" t="s">
        <v>114</v>
      </c>
      <c r="Q17" s="76">
        <v>1.2</v>
      </c>
      <c r="R17" s="74">
        <f>ROUND($AF$1*Q17/30,0)</f>
        <v>3</v>
      </c>
      <c r="S17" s="140" t="s">
        <v>20</v>
      </c>
      <c r="T17" s="50">
        <v>48</v>
      </c>
      <c r="U17" s="51">
        <f>R17*T17</f>
        <v>144</v>
      </c>
      <c r="V17" s="490" t="s">
        <v>193</v>
      </c>
      <c r="W17" s="195" t="s">
        <v>179</v>
      </c>
      <c r="X17" s="95">
        <v>3</v>
      </c>
      <c r="Y17" s="147" t="s">
        <v>21</v>
      </c>
      <c r="Z17" s="196" t="s">
        <v>20</v>
      </c>
      <c r="AA17" s="50"/>
      <c r="AB17" s="51"/>
      <c r="AC17" s="463" t="s">
        <v>42</v>
      </c>
      <c r="AD17" s="29" t="s">
        <v>59</v>
      </c>
      <c r="AE17" s="29">
        <v>40.5</v>
      </c>
      <c r="AF17" s="74">
        <f>ROUND($AF$1*AE17/1000,0)</f>
        <v>3</v>
      </c>
      <c r="AG17" s="73" t="s">
        <v>0</v>
      </c>
      <c r="AH17" s="152">
        <v>175</v>
      </c>
      <c r="AI17" s="51">
        <f>AF17*AH17</f>
        <v>525</v>
      </c>
      <c r="AR17" s="464"/>
      <c r="AS17" s="24"/>
      <c r="AT17" s="24"/>
      <c r="AU17" s="26"/>
      <c r="AV17" s="27"/>
      <c r="AW17" s="50"/>
      <c r="AX17" s="51">
        <f>AU17*AW17</f>
        <v>0</v>
      </c>
    </row>
    <row r="18" spans="1:48" s="49" customFormat="1" ht="18.75" customHeight="1">
      <c r="A18" s="488"/>
      <c r="B18" s="52" t="s">
        <v>300</v>
      </c>
      <c r="C18" s="52">
        <v>10</v>
      </c>
      <c r="D18" s="358">
        <f>ROUND($AF$1*C18/380,0)</f>
        <v>2</v>
      </c>
      <c r="E18" s="73" t="s">
        <v>20</v>
      </c>
      <c r="F18" s="50">
        <v>45</v>
      </c>
      <c r="G18" s="51">
        <f>D18*F18</f>
        <v>90</v>
      </c>
      <c r="H18" s="464"/>
      <c r="I18" s="57" t="s">
        <v>94</v>
      </c>
      <c r="J18" s="29">
        <v>41</v>
      </c>
      <c r="K18" s="74">
        <f>ROUND($AF$1*J18/1000,1)</f>
        <v>3</v>
      </c>
      <c r="L18" s="73" t="s">
        <v>0</v>
      </c>
      <c r="M18" s="50">
        <v>160</v>
      </c>
      <c r="N18" s="51">
        <f>K18*M18</f>
        <v>480</v>
      </c>
      <c r="O18" s="480"/>
      <c r="P18" s="55" t="s">
        <v>110</v>
      </c>
      <c r="Q18" s="55">
        <v>8</v>
      </c>
      <c r="R18" s="74">
        <f>ROUND($AF$1*Q18/1000,1)</f>
        <v>0.6</v>
      </c>
      <c r="S18" s="140" t="s">
        <v>0</v>
      </c>
      <c r="T18" s="50">
        <v>160</v>
      </c>
      <c r="U18" s="51">
        <f>R18*T18</f>
        <v>96</v>
      </c>
      <c r="V18" s="491"/>
      <c r="W18" s="186" t="s">
        <v>180</v>
      </c>
      <c r="X18" s="58">
        <v>2</v>
      </c>
      <c r="Y18" s="147" t="s">
        <v>21</v>
      </c>
      <c r="Z18" s="196" t="s">
        <v>20</v>
      </c>
      <c r="AA18" s="50"/>
      <c r="AB18" s="51"/>
      <c r="AC18" s="464"/>
      <c r="AD18" s="29" t="s">
        <v>171</v>
      </c>
      <c r="AE18" s="29">
        <v>40.5</v>
      </c>
      <c r="AF18" s="74">
        <f>ROUND($AF$1*AE18/1000,0)</f>
        <v>3</v>
      </c>
      <c r="AG18" s="73" t="s">
        <v>0</v>
      </c>
      <c r="AH18" s="152">
        <v>200</v>
      </c>
      <c r="AI18" s="51">
        <f>AF18*AH18</f>
        <v>600</v>
      </c>
      <c r="AR18" s="478"/>
      <c r="AS18" s="24"/>
      <c r="AT18" s="24"/>
      <c r="AU18" s="26"/>
      <c r="AV18" s="27"/>
    </row>
    <row r="19" spans="1:50" s="49" customFormat="1" ht="18.75" customHeight="1">
      <c r="A19" s="488"/>
      <c r="B19" s="52" t="s">
        <v>290</v>
      </c>
      <c r="C19" s="52">
        <v>5</v>
      </c>
      <c r="D19" s="74">
        <f>ROUND($AF$1*C19/1000,1)</f>
        <v>0.4</v>
      </c>
      <c r="E19" s="73" t="s">
        <v>0</v>
      </c>
      <c r="F19" s="50">
        <v>148</v>
      </c>
      <c r="G19" s="51">
        <f>D19*F19</f>
        <v>59.2</v>
      </c>
      <c r="H19" s="464"/>
      <c r="I19" s="77" t="s">
        <v>75</v>
      </c>
      <c r="J19" s="57">
        <v>0.5</v>
      </c>
      <c r="K19" s="74">
        <f>ROUND($AF$1*J19,0)</f>
        <v>37</v>
      </c>
      <c r="L19" s="25" t="s">
        <v>76</v>
      </c>
      <c r="M19" s="50">
        <v>60</v>
      </c>
      <c r="N19" s="51">
        <f>K19*M19</f>
        <v>2220</v>
      </c>
      <c r="O19" s="480"/>
      <c r="P19" s="55" t="s">
        <v>109</v>
      </c>
      <c r="Q19" s="29">
        <v>40.5</v>
      </c>
      <c r="R19" s="74">
        <f>ROUND($AF$1*Q19/1000,0)</f>
        <v>3</v>
      </c>
      <c r="S19" s="140" t="s">
        <v>0</v>
      </c>
      <c r="T19" s="50">
        <v>145</v>
      </c>
      <c r="U19" s="51">
        <f>R19*T19</f>
        <v>435</v>
      </c>
      <c r="V19" s="491"/>
      <c r="W19" s="185" t="s">
        <v>181</v>
      </c>
      <c r="X19" s="23">
        <v>15</v>
      </c>
      <c r="Y19" s="147" t="s">
        <v>21</v>
      </c>
      <c r="Z19" s="196" t="s">
        <v>20</v>
      </c>
      <c r="AA19" s="50"/>
      <c r="AB19" s="51"/>
      <c r="AC19" s="464"/>
      <c r="AD19" s="28" t="s">
        <v>45</v>
      </c>
      <c r="AE19" s="29">
        <v>40.5</v>
      </c>
      <c r="AF19" s="74">
        <f>ROUND($AF$1*AE19/1000,0)</f>
        <v>3</v>
      </c>
      <c r="AG19" s="73" t="s">
        <v>0</v>
      </c>
      <c r="AH19" s="152">
        <v>280</v>
      </c>
      <c r="AI19" s="51">
        <f>AF19*AH19</f>
        <v>840</v>
      </c>
      <c r="AR19" s="485" t="s">
        <v>40</v>
      </c>
      <c r="AS19" s="29" t="s">
        <v>41</v>
      </c>
      <c r="AT19" s="29">
        <v>3.5</v>
      </c>
      <c r="AU19" s="74" t="s">
        <v>21</v>
      </c>
      <c r="AV19" s="73" t="s">
        <v>0</v>
      </c>
      <c r="AW19" s="50"/>
      <c r="AX19" s="51" t="e">
        <f>AU19*AW19</f>
        <v>#VALUE!</v>
      </c>
    </row>
    <row r="20" spans="1:50" s="49" customFormat="1" ht="18.75" customHeight="1">
      <c r="A20" s="488"/>
      <c r="B20" s="23" t="s">
        <v>144</v>
      </c>
      <c r="C20" s="23">
        <v>32</v>
      </c>
      <c r="D20" s="74" t="s">
        <v>21</v>
      </c>
      <c r="E20" s="73" t="s">
        <v>0</v>
      </c>
      <c r="F20" s="50"/>
      <c r="G20" s="51"/>
      <c r="H20" s="464"/>
      <c r="I20" s="161"/>
      <c r="J20" s="161"/>
      <c r="K20" s="74"/>
      <c r="L20" s="73"/>
      <c r="M20" s="50"/>
      <c r="N20" s="51">
        <f>K20*M20</f>
        <v>0</v>
      </c>
      <c r="O20" s="480"/>
      <c r="P20" s="28" t="s">
        <v>18</v>
      </c>
      <c r="Q20" s="29">
        <v>40.5</v>
      </c>
      <c r="R20" s="74">
        <f>ROUND($AF$1*Q20/1000,0)</f>
        <v>3</v>
      </c>
      <c r="S20" s="140" t="s">
        <v>0</v>
      </c>
      <c r="T20" s="50">
        <v>105</v>
      </c>
      <c r="U20" s="51">
        <f>R20*T20</f>
        <v>315</v>
      </c>
      <c r="V20" s="491"/>
      <c r="W20" s="185" t="s">
        <v>182</v>
      </c>
      <c r="X20" s="23"/>
      <c r="Y20" s="147" t="s">
        <v>21</v>
      </c>
      <c r="Z20" s="245" t="s">
        <v>183</v>
      </c>
      <c r="AA20" s="50"/>
      <c r="AB20" s="51"/>
      <c r="AC20" s="464"/>
      <c r="AD20" s="23"/>
      <c r="AE20" s="23"/>
      <c r="AF20" s="92"/>
      <c r="AG20" s="93"/>
      <c r="AH20" s="152"/>
      <c r="AI20" s="51">
        <f>AF20*AH20</f>
        <v>0</v>
      </c>
      <c r="AR20" s="486"/>
      <c r="AS20" s="29" t="s">
        <v>44</v>
      </c>
      <c r="AT20" s="29">
        <v>3.5</v>
      </c>
      <c r="AU20" s="74" t="s">
        <v>21</v>
      </c>
      <c r="AV20" s="73" t="s">
        <v>0</v>
      </c>
      <c r="AW20" s="50"/>
      <c r="AX20" s="51" t="e">
        <f>AU20*AW20</f>
        <v>#VALUE!</v>
      </c>
    </row>
    <row r="21" spans="1:50" s="49" customFormat="1" ht="18.75" customHeight="1">
      <c r="A21" s="488"/>
      <c r="B21" s="52" t="s">
        <v>288</v>
      </c>
      <c r="C21" s="52">
        <v>14</v>
      </c>
      <c r="D21" s="74">
        <f>ROUND($AF$1*C21/1000,1)</f>
        <v>1</v>
      </c>
      <c r="E21" s="73" t="s">
        <v>0</v>
      </c>
      <c r="F21" s="50">
        <v>170</v>
      </c>
      <c r="G21" s="51">
        <f>D21*F21</f>
        <v>170</v>
      </c>
      <c r="H21" s="464"/>
      <c r="I21" s="59" t="s">
        <v>266</v>
      </c>
      <c r="J21" s="54">
        <v>126</v>
      </c>
      <c r="K21" s="74">
        <f>ROUND($AF$1*J21/1000,0)</f>
        <v>9</v>
      </c>
      <c r="L21" s="74" t="s">
        <v>48</v>
      </c>
      <c r="M21" s="50"/>
      <c r="N21" s="51">
        <f>K21*M21</f>
        <v>0</v>
      </c>
      <c r="O21" s="480"/>
      <c r="P21" s="57" t="s">
        <v>59</v>
      </c>
      <c r="Q21" s="29">
        <v>40.5</v>
      </c>
      <c r="R21" s="74">
        <f>ROUND($AF$1*Q21/1000,0)</f>
        <v>3</v>
      </c>
      <c r="S21" s="140" t="s">
        <v>0</v>
      </c>
      <c r="T21" s="50">
        <v>175</v>
      </c>
      <c r="U21" s="51"/>
      <c r="V21" s="491"/>
      <c r="W21" s="230" t="s">
        <v>240</v>
      </c>
      <c r="X21" s="244">
        <v>69</v>
      </c>
      <c r="Y21" s="147" t="s">
        <v>21</v>
      </c>
      <c r="Z21" s="244" t="s">
        <v>48</v>
      </c>
      <c r="AA21" s="50"/>
      <c r="AB21" s="51"/>
      <c r="AC21" s="464"/>
      <c r="AD21" s="230" t="s">
        <v>240</v>
      </c>
      <c r="AE21" s="231">
        <v>120</v>
      </c>
      <c r="AF21" s="232" t="s">
        <v>21</v>
      </c>
      <c r="AG21" s="361" t="s">
        <v>48</v>
      </c>
      <c r="AH21" s="152"/>
      <c r="AI21" s="51"/>
      <c r="AR21" s="486"/>
      <c r="AS21" s="29" t="s">
        <v>46</v>
      </c>
      <c r="AT21" s="29">
        <v>7</v>
      </c>
      <c r="AU21" s="74">
        <v>0.2</v>
      </c>
      <c r="AV21" s="73" t="s">
        <v>0</v>
      </c>
      <c r="AW21" s="50">
        <v>48</v>
      </c>
      <c r="AX21" s="51">
        <f>AU21*AW21</f>
        <v>9.600000000000001</v>
      </c>
    </row>
    <row r="22" spans="1:50" s="49" customFormat="1" ht="18.75" customHeight="1">
      <c r="A22" s="488"/>
      <c r="B22" s="56" t="s">
        <v>291</v>
      </c>
      <c r="C22" s="52">
        <v>3</v>
      </c>
      <c r="D22" s="74">
        <f>ROUND($AF$1*C22/1000,1)</f>
        <v>0.2</v>
      </c>
      <c r="E22" s="73" t="s">
        <v>0</v>
      </c>
      <c r="F22" s="50">
        <v>115</v>
      </c>
      <c r="G22" s="51"/>
      <c r="H22" s="464"/>
      <c r="I22" s="161"/>
      <c r="J22" s="161"/>
      <c r="K22" s="74"/>
      <c r="L22" s="73"/>
      <c r="M22" s="50"/>
      <c r="N22" s="51"/>
      <c r="O22" s="480"/>
      <c r="P22" s="57" t="s">
        <v>67</v>
      </c>
      <c r="Q22" s="78"/>
      <c r="R22" s="77" t="s">
        <v>21</v>
      </c>
      <c r="S22" s="140" t="s">
        <v>0</v>
      </c>
      <c r="T22" s="50"/>
      <c r="U22" s="51"/>
      <c r="V22" s="491"/>
      <c r="W22" s="61" t="s">
        <v>169</v>
      </c>
      <c r="X22" s="61"/>
      <c r="Y22" s="51"/>
      <c r="Z22" s="51"/>
      <c r="AA22" s="50"/>
      <c r="AB22" s="51"/>
      <c r="AC22" s="464"/>
      <c r="AD22" s="233" t="s">
        <v>251</v>
      </c>
      <c r="AE22" s="151"/>
      <c r="AF22" s="92"/>
      <c r="AG22" s="93"/>
      <c r="AH22" s="152"/>
      <c r="AI22" s="51"/>
      <c r="AR22" s="486"/>
      <c r="AS22" s="29" t="s">
        <v>47</v>
      </c>
      <c r="AT22" s="29">
        <v>3.5</v>
      </c>
      <c r="AU22" s="74" t="s">
        <v>21</v>
      </c>
      <c r="AV22" s="73" t="s">
        <v>0</v>
      </c>
      <c r="AW22" s="50"/>
      <c r="AX22" s="51" t="e">
        <f>AU22*AW22</f>
        <v>#VALUE!</v>
      </c>
    </row>
    <row r="23" spans="1:50" s="49" customFormat="1" ht="18.75" customHeight="1">
      <c r="A23" s="488"/>
      <c r="B23" s="56"/>
      <c r="C23" s="56"/>
      <c r="D23" s="146"/>
      <c r="E23" s="148"/>
      <c r="F23" s="50"/>
      <c r="G23" s="51"/>
      <c r="H23" s="464"/>
      <c r="I23" s="161"/>
      <c r="J23" s="161"/>
      <c r="K23" s="74"/>
      <c r="L23" s="73"/>
      <c r="M23" s="50"/>
      <c r="N23" s="51"/>
      <c r="O23" s="480"/>
      <c r="P23" s="79" t="s">
        <v>68</v>
      </c>
      <c r="Q23" s="79"/>
      <c r="R23" s="497"/>
      <c r="S23" s="498"/>
      <c r="T23" s="50"/>
      <c r="U23" s="51"/>
      <c r="V23" s="491"/>
      <c r="W23" s="233" t="s">
        <v>254</v>
      </c>
      <c r="X23" s="61"/>
      <c r="Y23" s="74"/>
      <c r="Z23" s="74"/>
      <c r="AA23" s="50"/>
      <c r="AB23" s="51"/>
      <c r="AC23" s="464"/>
      <c r="AD23" s="23"/>
      <c r="AE23" s="23"/>
      <c r="AF23" s="92"/>
      <c r="AG23" s="93"/>
      <c r="AH23" s="152"/>
      <c r="AI23" s="51"/>
      <c r="AR23" s="486"/>
      <c r="AS23" s="29" t="s">
        <v>49</v>
      </c>
      <c r="AT23" s="29">
        <v>3.5</v>
      </c>
      <c r="AU23" s="74" t="s">
        <v>21</v>
      </c>
      <c r="AV23" s="73" t="s">
        <v>0</v>
      </c>
      <c r="AW23" s="50"/>
      <c r="AX23" s="51"/>
    </row>
    <row r="24" spans="1:50" s="49" customFormat="1" ht="18.75" customHeight="1" thickBot="1">
      <c r="A24" s="488"/>
      <c r="B24" s="52" t="s">
        <v>293</v>
      </c>
      <c r="C24" s="56"/>
      <c r="D24" s="156"/>
      <c r="E24" s="157"/>
      <c r="F24" s="50"/>
      <c r="G24" s="51">
        <f>D24*F24</f>
        <v>0</v>
      </c>
      <c r="H24" s="464"/>
      <c r="I24" s="163"/>
      <c r="J24" s="163"/>
      <c r="K24" s="145"/>
      <c r="L24" s="164"/>
      <c r="M24" s="50"/>
      <c r="N24" s="51">
        <f>K24*M24</f>
        <v>0</v>
      </c>
      <c r="O24" s="481"/>
      <c r="P24" s="189" t="s">
        <v>111</v>
      </c>
      <c r="Q24" s="499"/>
      <c r="R24" s="499"/>
      <c r="S24" s="500"/>
      <c r="T24" s="50"/>
      <c r="U24" s="51">
        <f>R24*T24</f>
        <v>0</v>
      </c>
      <c r="V24" s="491"/>
      <c r="W24" s="55" t="s">
        <v>172</v>
      </c>
      <c r="X24" s="23">
        <v>69</v>
      </c>
      <c r="Y24" s="74">
        <f>ROUND($AF$1*X24/1000,1)</f>
        <v>5.1</v>
      </c>
      <c r="Z24" s="74" t="s">
        <v>0</v>
      </c>
      <c r="AA24" s="50">
        <v>160</v>
      </c>
      <c r="AB24" s="51">
        <f>Y24*AA24</f>
        <v>816</v>
      </c>
      <c r="AC24" s="489"/>
      <c r="AD24" s="176"/>
      <c r="AE24" s="176"/>
      <c r="AF24" s="177"/>
      <c r="AG24" s="178"/>
      <c r="AH24" s="198"/>
      <c r="AI24" s="51">
        <f>AF24*AH24</f>
        <v>0</v>
      </c>
      <c r="AR24" s="486"/>
      <c r="AS24" s="23" t="s">
        <v>50</v>
      </c>
      <c r="AT24" s="23">
        <v>40</v>
      </c>
      <c r="AU24" s="74">
        <v>1</v>
      </c>
      <c r="AV24" s="73" t="s">
        <v>20</v>
      </c>
      <c r="AW24" s="50">
        <v>40</v>
      </c>
      <c r="AX24" s="51"/>
    </row>
    <row r="25" spans="1:44" s="40" customFormat="1" ht="18.75" customHeight="1">
      <c r="A25" s="453" t="s">
        <v>81</v>
      </c>
      <c r="B25" s="96" t="s">
        <v>82</v>
      </c>
      <c r="C25" s="380">
        <v>2.5</v>
      </c>
      <c r="D25" s="380"/>
      <c r="E25" s="381"/>
      <c r="F25" s="426">
        <f>SUM(G6:G24)</f>
        <v>1759.2</v>
      </c>
      <c r="G25" s="458"/>
      <c r="H25" s="459" t="s">
        <v>81</v>
      </c>
      <c r="I25" s="96" t="s">
        <v>82</v>
      </c>
      <c r="J25" s="380">
        <v>2.1</v>
      </c>
      <c r="K25" s="380"/>
      <c r="L25" s="381"/>
      <c r="M25" s="426">
        <f>SUM(N6:N24)</f>
        <v>4108.4</v>
      </c>
      <c r="N25" s="483"/>
      <c r="O25" s="459" t="s">
        <v>81</v>
      </c>
      <c r="P25" s="96" t="s">
        <v>82</v>
      </c>
      <c r="Q25" s="380">
        <v>1</v>
      </c>
      <c r="R25" s="380"/>
      <c r="S25" s="399"/>
      <c r="T25" s="426">
        <f>SUM(U6:U24)</f>
        <v>3033</v>
      </c>
      <c r="U25" s="458"/>
      <c r="V25" s="435" t="s">
        <v>81</v>
      </c>
      <c r="W25" s="234" t="s">
        <v>82</v>
      </c>
      <c r="X25" s="380">
        <v>2.2</v>
      </c>
      <c r="Y25" s="380"/>
      <c r="Z25" s="381"/>
      <c r="AA25" s="457">
        <f>SUM(AB6:AB24)</f>
        <v>1620.9</v>
      </c>
      <c r="AB25" s="458"/>
      <c r="AC25" s="430" t="s">
        <v>81</v>
      </c>
      <c r="AD25" s="96" t="s">
        <v>82</v>
      </c>
      <c r="AE25" s="380">
        <v>1.5</v>
      </c>
      <c r="AF25" s="380"/>
      <c r="AG25" s="381"/>
      <c r="AH25" s="426" t="e">
        <f>SUM(AI6:AI24)</f>
        <v>#VALUE!</v>
      </c>
      <c r="AI25" s="484"/>
      <c r="AJ25" s="122">
        <f>(C25+J25+Q25+X25+AE25)/5</f>
        <v>1.86</v>
      </c>
      <c r="AR25" s="486"/>
    </row>
    <row r="26" spans="1:44" s="40" customFormat="1" ht="18.75" customHeight="1">
      <c r="A26" s="454"/>
      <c r="B26" s="98" t="s">
        <v>83</v>
      </c>
      <c r="C26" s="382">
        <v>0.5</v>
      </c>
      <c r="D26" s="382"/>
      <c r="E26" s="383"/>
      <c r="F26" s="99"/>
      <c r="G26" s="100"/>
      <c r="H26" s="460"/>
      <c r="I26" s="98" t="s">
        <v>83</v>
      </c>
      <c r="J26" s="382">
        <v>0.5</v>
      </c>
      <c r="K26" s="382"/>
      <c r="L26" s="383"/>
      <c r="M26" s="101"/>
      <c r="N26" s="242"/>
      <c r="O26" s="460"/>
      <c r="P26" s="98" t="s">
        <v>83</v>
      </c>
      <c r="Q26" s="382">
        <v>0.6</v>
      </c>
      <c r="R26" s="382"/>
      <c r="S26" s="384"/>
      <c r="T26" s="101"/>
      <c r="U26" s="102"/>
      <c r="V26" s="436"/>
      <c r="W26" s="235" t="s">
        <v>83</v>
      </c>
      <c r="X26" s="382">
        <v>0.8</v>
      </c>
      <c r="Y26" s="382"/>
      <c r="Z26" s="383"/>
      <c r="AA26" s="103"/>
      <c r="AB26" s="100"/>
      <c r="AC26" s="431"/>
      <c r="AD26" s="98" t="s">
        <v>83</v>
      </c>
      <c r="AE26" s="382">
        <v>0.5</v>
      </c>
      <c r="AF26" s="382"/>
      <c r="AG26" s="383"/>
      <c r="AH26" s="104"/>
      <c r="AI26" s="105"/>
      <c r="AJ26" s="122">
        <f aca="true" t="shared" si="5" ref="AJ26:AJ31">(C26+J26+Q26+X26+AE26)/5</f>
        <v>0.5800000000000001</v>
      </c>
      <c r="AR26" s="486"/>
    </row>
    <row r="27" spans="1:44" s="40" customFormat="1" ht="18.75" customHeight="1">
      <c r="A27" s="454"/>
      <c r="B27" s="106" t="s">
        <v>86</v>
      </c>
      <c r="C27" s="382">
        <v>0.2</v>
      </c>
      <c r="D27" s="382"/>
      <c r="E27" s="383"/>
      <c r="F27" s="99"/>
      <c r="G27" s="100"/>
      <c r="H27" s="460"/>
      <c r="I27" s="106" t="s">
        <v>86</v>
      </c>
      <c r="J27" s="382">
        <v>0.6</v>
      </c>
      <c r="K27" s="382"/>
      <c r="L27" s="383"/>
      <c r="M27" s="101"/>
      <c r="N27" s="242"/>
      <c r="O27" s="460"/>
      <c r="P27" s="106" t="s">
        <v>86</v>
      </c>
      <c r="Q27" s="382">
        <v>0.1</v>
      </c>
      <c r="R27" s="382"/>
      <c r="S27" s="384"/>
      <c r="T27" s="101"/>
      <c r="U27" s="102"/>
      <c r="V27" s="436"/>
      <c r="W27" s="236" t="s">
        <v>86</v>
      </c>
      <c r="X27" s="382">
        <v>0.5</v>
      </c>
      <c r="Y27" s="382"/>
      <c r="Z27" s="383"/>
      <c r="AA27" s="103"/>
      <c r="AB27" s="100"/>
      <c r="AC27" s="431"/>
      <c r="AD27" s="106" t="s">
        <v>86</v>
      </c>
      <c r="AE27" s="382">
        <v>0.5</v>
      </c>
      <c r="AF27" s="382"/>
      <c r="AG27" s="383"/>
      <c r="AH27" s="104"/>
      <c r="AI27" s="105"/>
      <c r="AJ27" s="122">
        <f t="shared" si="5"/>
        <v>0.38</v>
      </c>
      <c r="AR27" s="72"/>
    </row>
    <row r="28" spans="1:44" s="40" customFormat="1" ht="18.75" customHeight="1">
      <c r="A28" s="454"/>
      <c r="B28" s="107" t="s">
        <v>84</v>
      </c>
      <c r="C28" s="382">
        <v>0.7</v>
      </c>
      <c r="D28" s="382"/>
      <c r="E28" s="383"/>
      <c r="F28" s="99"/>
      <c r="G28" s="100"/>
      <c r="H28" s="460"/>
      <c r="I28" s="107" t="s">
        <v>84</v>
      </c>
      <c r="J28" s="382">
        <v>0.5</v>
      </c>
      <c r="K28" s="382"/>
      <c r="L28" s="383"/>
      <c r="M28" s="101"/>
      <c r="N28" s="242"/>
      <c r="O28" s="460"/>
      <c r="P28" s="107" t="s">
        <v>85</v>
      </c>
      <c r="Q28" s="382">
        <v>0.5</v>
      </c>
      <c r="R28" s="382"/>
      <c r="S28" s="384"/>
      <c r="T28" s="101"/>
      <c r="U28" s="102"/>
      <c r="V28" s="436"/>
      <c r="W28" s="237" t="s">
        <v>85</v>
      </c>
      <c r="X28" s="382">
        <v>0.5</v>
      </c>
      <c r="Y28" s="382"/>
      <c r="Z28" s="383"/>
      <c r="AA28" s="103"/>
      <c r="AB28" s="100"/>
      <c r="AC28" s="431"/>
      <c r="AD28" s="107" t="s">
        <v>84</v>
      </c>
      <c r="AE28" s="382">
        <v>0.5</v>
      </c>
      <c r="AF28" s="382"/>
      <c r="AG28" s="383"/>
      <c r="AH28" s="104"/>
      <c r="AI28" s="105"/>
      <c r="AJ28" s="122">
        <f t="shared" si="5"/>
        <v>0.54</v>
      </c>
      <c r="AR28" s="72"/>
    </row>
    <row r="29" spans="1:46" s="40" customFormat="1" ht="18.75" customHeight="1">
      <c r="A29" s="454"/>
      <c r="B29" s="98" t="s">
        <v>87</v>
      </c>
      <c r="C29" s="382">
        <v>0</v>
      </c>
      <c r="D29" s="382"/>
      <c r="E29" s="383"/>
      <c r="F29" s="99"/>
      <c r="G29" s="100"/>
      <c r="H29" s="460"/>
      <c r="I29" s="98" t="s">
        <v>87</v>
      </c>
      <c r="J29" s="382">
        <v>1</v>
      </c>
      <c r="K29" s="382"/>
      <c r="L29" s="383"/>
      <c r="M29" s="101"/>
      <c r="N29" s="242"/>
      <c r="O29" s="460"/>
      <c r="P29" s="98" t="s">
        <v>87</v>
      </c>
      <c r="Q29" s="382">
        <v>1</v>
      </c>
      <c r="R29" s="382"/>
      <c r="S29" s="384"/>
      <c r="T29" s="101"/>
      <c r="U29" s="102"/>
      <c r="V29" s="436"/>
      <c r="W29" s="235" t="s">
        <v>87</v>
      </c>
      <c r="X29" s="382">
        <v>1</v>
      </c>
      <c r="Y29" s="382"/>
      <c r="Z29" s="383"/>
      <c r="AA29" s="103"/>
      <c r="AB29" s="100"/>
      <c r="AC29" s="431"/>
      <c r="AD29" s="98" t="s">
        <v>87</v>
      </c>
      <c r="AE29" s="382">
        <v>1</v>
      </c>
      <c r="AF29" s="382"/>
      <c r="AG29" s="383"/>
      <c r="AH29" s="104"/>
      <c r="AI29" s="105"/>
      <c r="AJ29" s="122">
        <f t="shared" si="5"/>
        <v>0.8</v>
      </c>
      <c r="AP29" s="468" t="s">
        <v>192</v>
      </c>
      <c r="AQ29" s="52" t="s">
        <v>204</v>
      </c>
      <c r="AR29" s="52">
        <v>14</v>
      </c>
      <c r="AS29" s="74">
        <f>ROUND($AF$1*AR29/250,1)</f>
        <v>4.1</v>
      </c>
      <c r="AT29" s="74" t="s">
        <v>20</v>
      </c>
    </row>
    <row r="30" spans="1:46" s="40" customFormat="1" ht="18.75" customHeight="1">
      <c r="A30" s="454"/>
      <c r="B30" s="98" t="s">
        <v>88</v>
      </c>
      <c r="C30" s="382">
        <v>0.6</v>
      </c>
      <c r="D30" s="382"/>
      <c r="E30" s="383"/>
      <c r="F30" s="99"/>
      <c r="G30" s="100"/>
      <c r="H30" s="460"/>
      <c r="I30" s="98" t="s">
        <v>88</v>
      </c>
      <c r="J30" s="382">
        <v>0.6</v>
      </c>
      <c r="K30" s="382"/>
      <c r="L30" s="383"/>
      <c r="M30" s="108"/>
      <c r="N30" s="242"/>
      <c r="O30" s="460"/>
      <c r="P30" s="98" t="s">
        <v>88</v>
      </c>
      <c r="Q30" s="382">
        <v>0.6</v>
      </c>
      <c r="R30" s="382"/>
      <c r="S30" s="384"/>
      <c r="T30" s="101"/>
      <c r="U30" s="102"/>
      <c r="V30" s="436"/>
      <c r="W30" s="235" t="s">
        <v>88</v>
      </c>
      <c r="X30" s="382">
        <v>0.3</v>
      </c>
      <c r="Y30" s="382"/>
      <c r="Z30" s="383"/>
      <c r="AA30" s="103"/>
      <c r="AB30" s="100"/>
      <c r="AC30" s="431"/>
      <c r="AD30" s="98" t="s">
        <v>88</v>
      </c>
      <c r="AE30" s="382">
        <v>0.6</v>
      </c>
      <c r="AF30" s="382"/>
      <c r="AG30" s="383"/>
      <c r="AH30" s="104"/>
      <c r="AI30" s="105"/>
      <c r="AJ30" s="122">
        <f t="shared" si="5"/>
        <v>0.5399999999999999</v>
      </c>
      <c r="AP30" s="469"/>
      <c r="AQ30" s="52" t="s">
        <v>1</v>
      </c>
      <c r="AR30" s="52">
        <v>25</v>
      </c>
      <c r="AS30" s="74">
        <f>ROUND($AF$1*AR30/1000,1)</f>
        <v>1.9</v>
      </c>
      <c r="AT30" s="74" t="s">
        <v>0</v>
      </c>
    </row>
    <row r="31" spans="1:46" s="40" customFormat="1" ht="18.75" customHeight="1" thickBot="1">
      <c r="A31" s="455"/>
      <c r="B31" s="109" t="s">
        <v>89</v>
      </c>
      <c r="C31" s="378">
        <f>C25*70+C26*75+C27*25+C28*45+C30*120+C29*60</f>
        <v>321</v>
      </c>
      <c r="D31" s="378"/>
      <c r="E31" s="379"/>
      <c r="F31" s="110"/>
      <c r="G31" s="111"/>
      <c r="H31" s="461"/>
      <c r="I31" s="109" t="s">
        <v>89</v>
      </c>
      <c r="J31" s="378">
        <f>J25*70+J26*75+J27*25+J28*45+J30*120+J29*60</f>
        <v>354</v>
      </c>
      <c r="K31" s="378"/>
      <c r="L31" s="379"/>
      <c r="M31" s="112"/>
      <c r="N31" s="243"/>
      <c r="O31" s="461"/>
      <c r="P31" s="109" t="s">
        <v>89</v>
      </c>
      <c r="Q31" s="378">
        <f>Q25*70+Q26*75+Q27*25+Q28*45+Q30*120+Q29*60</f>
        <v>272</v>
      </c>
      <c r="R31" s="378"/>
      <c r="S31" s="434"/>
      <c r="T31" s="112"/>
      <c r="U31" s="113"/>
      <c r="V31" s="437"/>
      <c r="W31" s="238" t="s">
        <v>89</v>
      </c>
      <c r="X31" s="378">
        <f>X25*70+X26*75+X27*25+X28*45+X30*120+X29*60</f>
        <v>345</v>
      </c>
      <c r="Y31" s="378"/>
      <c r="Z31" s="379"/>
      <c r="AA31" s="114"/>
      <c r="AB31" s="111"/>
      <c r="AC31" s="432"/>
      <c r="AD31" s="109" t="s">
        <v>89</v>
      </c>
      <c r="AE31" s="378">
        <f>AE25*70+AE26*75+AE27*25+AE28*45+AE30*120+AE29*60</f>
        <v>309.5</v>
      </c>
      <c r="AF31" s="378"/>
      <c r="AG31" s="379"/>
      <c r="AH31" s="115"/>
      <c r="AI31" s="116"/>
      <c r="AJ31" s="122">
        <f t="shared" si="5"/>
        <v>320.3</v>
      </c>
      <c r="AP31" s="469"/>
      <c r="AQ31" s="52" t="s">
        <v>63</v>
      </c>
      <c r="AR31" s="52">
        <v>8</v>
      </c>
      <c r="AS31" s="74">
        <f>ROUND($AF$1*AR31/1000,1)</f>
        <v>0.6</v>
      </c>
      <c r="AT31" s="74" t="s">
        <v>0</v>
      </c>
    </row>
    <row r="32" spans="1:50" s="49" customFormat="1" ht="18.75" customHeight="1">
      <c r="A32" s="81"/>
      <c r="B32" s="82"/>
      <c r="C32" s="82"/>
      <c r="D32" s="117"/>
      <c r="E32" s="117"/>
      <c r="F32" s="83"/>
      <c r="G32" s="82"/>
      <c r="H32" s="84"/>
      <c r="I32" s="82"/>
      <c r="J32" s="82"/>
      <c r="K32" s="117"/>
      <c r="L32" s="117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17"/>
      <c r="AG32" s="117"/>
      <c r="AH32" s="83"/>
      <c r="AI32" s="82"/>
      <c r="AP32" s="469"/>
      <c r="AQ32" s="23" t="s">
        <v>132</v>
      </c>
      <c r="AR32" s="52">
        <v>4</v>
      </c>
      <c r="AS32" s="74">
        <f>ROUND($AF$1*AR32/1000,1)</f>
        <v>0.3</v>
      </c>
      <c r="AT32" s="74" t="s">
        <v>0</v>
      </c>
      <c r="AU32" s="74"/>
      <c r="AV32" s="73"/>
      <c r="AW32" s="50"/>
      <c r="AX32" s="51"/>
    </row>
    <row r="33" spans="1:61" s="49" customFormat="1" ht="19.5" customHeight="1">
      <c r="A33" s="456" t="s">
        <v>51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118"/>
      <c r="AJ33" s="63"/>
      <c r="AK33" s="63"/>
      <c r="AL33" s="64"/>
      <c r="AM33" s="64"/>
      <c r="AN33" s="64"/>
      <c r="AO33" s="64"/>
      <c r="AP33" s="469"/>
      <c r="AQ33" s="52" t="s">
        <v>133</v>
      </c>
      <c r="AR33" s="52">
        <v>10</v>
      </c>
      <c r="AS33" s="74" t="s">
        <v>21</v>
      </c>
      <c r="AT33" s="74" t="s">
        <v>0</v>
      </c>
      <c r="AU33" s="92"/>
      <c r="AV33" s="93"/>
      <c r="AW33" s="50"/>
      <c r="AX33" s="51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</row>
    <row r="34" spans="1:61" s="49" customFormat="1" ht="22.5" customHeight="1">
      <c r="A34" s="465" t="s">
        <v>62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119"/>
      <c r="AJ34" s="65"/>
      <c r="AK34" s="65"/>
      <c r="AL34" s="64"/>
      <c r="AM34" s="64"/>
      <c r="AN34" s="64"/>
      <c r="AO34" s="64"/>
      <c r="AP34" s="469"/>
      <c r="AQ34" s="52" t="s">
        <v>23</v>
      </c>
      <c r="AR34" s="52">
        <v>8</v>
      </c>
      <c r="AS34" s="74">
        <f>ROUND($AF$1*AR34/1000,1)</f>
        <v>0.6</v>
      </c>
      <c r="AT34" s="74" t="s">
        <v>0</v>
      </c>
      <c r="AU34" s="92"/>
      <c r="AV34" s="93"/>
      <c r="AW34" s="50"/>
      <c r="AX34" s="51">
        <f>AU34*AW34</f>
        <v>0</v>
      </c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  <row r="35" spans="42:46" ht="22.5" customHeight="1">
      <c r="AP35" s="469"/>
      <c r="AQ35" s="23"/>
      <c r="AR35" s="23"/>
      <c r="AS35" s="51"/>
      <c r="AT35" s="51"/>
    </row>
    <row r="36" spans="42:46" ht="22.5" customHeight="1">
      <c r="AP36" s="469"/>
      <c r="AQ36" s="23"/>
      <c r="AR36" s="23"/>
      <c r="AS36" s="92"/>
      <c r="AT36" s="92"/>
    </row>
    <row r="37" spans="42:46" ht="22.5" customHeight="1">
      <c r="AP37" s="469"/>
      <c r="AQ37" s="23"/>
      <c r="AR37" s="23"/>
      <c r="AS37" s="74"/>
      <c r="AT37" s="74"/>
    </row>
    <row r="38" spans="42:46" ht="22.5" customHeight="1">
      <c r="AP38" s="469"/>
      <c r="AQ38" s="23"/>
      <c r="AR38" s="23"/>
      <c r="AS38" s="92"/>
      <c r="AT38" s="92"/>
    </row>
    <row r="39" spans="42:46" ht="22.5" customHeight="1">
      <c r="AP39" s="420" t="s">
        <v>39</v>
      </c>
      <c r="AQ39" s="421"/>
      <c r="AR39" s="421"/>
      <c r="AS39" s="421"/>
      <c r="AT39" s="462"/>
    </row>
    <row r="40" spans="42:46" ht="22.5" customHeight="1">
      <c r="AP40" s="463" t="s">
        <v>42</v>
      </c>
      <c r="AQ40" s="29" t="s">
        <v>59</v>
      </c>
      <c r="AR40" s="29">
        <v>40.5</v>
      </c>
      <c r="AS40" s="74">
        <f>ROUND($AF$1*AR40/1000,0)</f>
        <v>3</v>
      </c>
      <c r="AT40" s="73" t="s">
        <v>0</v>
      </c>
    </row>
    <row r="41" spans="9:46" ht="22.5" customHeight="1">
      <c r="I41" s="466" t="s">
        <v>196</v>
      </c>
      <c r="J41" s="139" t="s">
        <v>197</v>
      </c>
      <c r="K41" s="139">
        <v>1</v>
      </c>
      <c r="L41" s="77">
        <v>60</v>
      </c>
      <c r="M41" s="77" t="s">
        <v>52</v>
      </c>
      <c r="AP41" s="464"/>
      <c r="AQ41" s="29" t="s">
        <v>171</v>
      </c>
      <c r="AR41" s="29">
        <v>40.5</v>
      </c>
      <c r="AS41" s="74">
        <f>ROUND($AF$1*AR41/1000,0)</f>
        <v>3</v>
      </c>
      <c r="AT41" s="73" t="s">
        <v>0</v>
      </c>
    </row>
    <row r="42" spans="9:46" ht="22.5" customHeight="1">
      <c r="I42" s="467"/>
      <c r="J42" s="75" t="s">
        <v>98</v>
      </c>
      <c r="K42" s="54">
        <v>133</v>
      </c>
      <c r="L42" s="74">
        <v>4</v>
      </c>
      <c r="M42" s="74" t="s">
        <v>48</v>
      </c>
      <c r="AP42" s="464"/>
      <c r="AQ42" s="28" t="s">
        <v>45</v>
      </c>
      <c r="AR42" s="29">
        <v>40.5</v>
      </c>
      <c r="AS42" s="74">
        <f>ROUND($AF$1*AR42/1000,0)</f>
        <v>3</v>
      </c>
      <c r="AT42" s="73" t="s">
        <v>0</v>
      </c>
    </row>
    <row r="43" spans="9:46" ht="22.5" customHeight="1">
      <c r="I43" s="467"/>
      <c r="J43" s="55"/>
      <c r="K43" s="55"/>
      <c r="L43" s="92"/>
      <c r="M43" s="92"/>
      <c r="AP43" s="464"/>
      <c r="AQ43" s="23"/>
      <c r="AR43" s="23"/>
      <c r="AS43" s="92"/>
      <c r="AT43" s="93"/>
    </row>
    <row r="44" spans="9:46" ht="22.5" customHeight="1">
      <c r="I44" s="467"/>
      <c r="J44" s="55"/>
      <c r="K44" s="55"/>
      <c r="L44" s="92"/>
      <c r="M44" s="92"/>
      <c r="AP44" s="464"/>
      <c r="AQ44" s="230" t="s">
        <v>240</v>
      </c>
      <c r="AR44" s="231">
        <v>120</v>
      </c>
      <c r="AS44" s="232" t="s">
        <v>21</v>
      </c>
      <c r="AT44" s="231" t="s">
        <v>48</v>
      </c>
    </row>
    <row r="45" spans="9:46" ht="22.5" customHeight="1">
      <c r="I45" s="467"/>
      <c r="J45" s="55"/>
      <c r="K45" s="55"/>
      <c r="L45" s="142"/>
      <c r="M45" s="92"/>
      <c r="AP45" s="464"/>
      <c r="AQ45" s="233" t="s">
        <v>251</v>
      </c>
      <c r="AR45" s="151"/>
      <c r="AS45" s="92"/>
      <c r="AT45" s="92"/>
    </row>
    <row r="46" spans="9:46" ht="22.5" customHeight="1">
      <c r="I46" s="467"/>
      <c r="J46" s="55"/>
      <c r="K46" s="55"/>
      <c r="L46" s="142"/>
      <c r="M46" s="92"/>
      <c r="AP46" s="464"/>
      <c r="AQ46" s="23"/>
      <c r="AR46" s="23"/>
      <c r="AS46" s="92"/>
      <c r="AT46" s="92"/>
    </row>
    <row r="47" spans="9:46" ht="22.5" customHeight="1" thickBot="1">
      <c r="I47" s="467"/>
      <c r="J47" s="55"/>
      <c r="K47" s="55"/>
      <c r="L47" s="92"/>
      <c r="M47" s="92"/>
      <c r="AP47" s="489"/>
      <c r="AQ47" s="176"/>
      <c r="AR47" s="176"/>
      <c r="AS47" s="177"/>
      <c r="AT47" s="178"/>
    </row>
    <row r="48" spans="9:46" ht="22.5" customHeight="1">
      <c r="I48" s="467"/>
      <c r="J48" s="55"/>
      <c r="K48" s="55"/>
      <c r="L48" s="92"/>
      <c r="M48" s="92"/>
      <c r="AP48" s="430" t="s">
        <v>81</v>
      </c>
      <c r="AQ48" s="96" t="s">
        <v>82</v>
      </c>
      <c r="AR48" s="380">
        <v>1.5</v>
      </c>
      <c r="AS48" s="380"/>
      <c r="AT48" s="381"/>
    </row>
    <row r="49" spans="9:46" ht="22.5" customHeight="1">
      <c r="I49" s="467"/>
      <c r="J49" s="143"/>
      <c r="K49" s="143"/>
      <c r="L49" s="92"/>
      <c r="M49" s="93"/>
      <c r="AP49" s="431"/>
      <c r="AQ49" s="98" t="s">
        <v>83</v>
      </c>
      <c r="AR49" s="382">
        <v>0.5</v>
      </c>
      <c r="AS49" s="382"/>
      <c r="AT49" s="383"/>
    </row>
    <row r="50" spans="9:46" ht="22.5" customHeight="1">
      <c r="I50" s="467"/>
      <c r="J50" s="143"/>
      <c r="K50" s="143"/>
      <c r="L50" s="92"/>
      <c r="M50" s="93"/>
      <c r="AP50" s="431"/>
      <c r="AQ50" s="106" t="s">
        <v>86</v>
      </c>
      <c r="AR50" s="382">
        <v>0.5</v>
      </c>
      <c r="AS50" s="382"/>
      <c r="AT50" s="383"/>
    </row>
    <row r="51" spans="9:46" ht="22.5" customHeight="1">
      <c r="I51" s="470" t="s">
        <v>39</v>
      </c>
      <c r="J51" s="471"/>
      <c r="K51" s="471"/>
      <c r="L51" s="471"/>
      <c r="M51" s="471"/>
      <c r="AP51" s="431"/>
      <c r="AQ51" s="107" t="s">
        <v>84</v>
      </c>
      <c r="AR51" s="382">
        <v>0.5</v>
      </c>
      <c r="AS51" s="382"/>
      <c r="AT51" s="383"/>
    </row>
    <row r="52" spans="9:46" ht="22.5" customHeight="1">
      <c r="I52" s="487" t="s">
        <v>195</v>
      </c>
      <c r="J52" s="149" t="s">
        <v>203</v>
      </c>
      <c r="K52" s="149">
        <v>10</v>
      </c>
      <c r="L52" s="74">
        <v>6</v>
      </c>
      <c r="M52" s="150" t="s">
        <v>20</v>
      </c>
      <c r="AP52" s="431"/>
      <c r="AQ52" s="98" t="s">
        <v>87</v>
      </c>
      <c r="AR52" s="382">
        <v>1</v>
      </c>
      <c r="AS52" s="382"/>
      <c r="AT52" s="383"/>
    </row>
    <row r="53" spans="9:46" ht="22.5" customHeight="1">
      <c r="I53" s="488"/>
      <c r="J53" s="52" t="s">
        <v>77</v>
      </c>
      <c r="K53" s="52">
        <v>20</v>
      </c>
      <c r="L53" s="74">
        <f>ROUND($AF$1*K53/600,1)</f>
        <v>2.5</v>
      </c>
      <c r="M53" s="25" t="s">
        <v>119</v>
      </c>
      <c r="AP53" s="431"/>
      <c r="AQ53" s="98" t="s">
        <v>88</v>
      </c>
      <c r="AR53" s="382">
        <v>0.6</v>
      </c>
      <c r="AS53" s="382"/>
      <c r="AT53" s="383"/>
    </row>
    <row r="54" spans="9:46" ht="22.5" customHeight="1" thickBot="1">
      <c r="I54" s="488"/>
      <c r="J54" s="52" t="s">
        <v>70</v>
      </c>
      <c r="K54" s="52">
        <v>10</v>
      </c>
      <c r="L54" s="74">
        <f>ROUND($AF$1*K54/1000,1)</f>
        <v>0.7</v>
      </c>
      <c r="M54" s="73" t="s">
        <v>0</v>
      </c>
      <c r="AP54" s="432"/>
      <c r="AQ54" s="109" t="s">
        <v>89</v>
      </c>
      <c r="AR54" s="378">
        <f>AR48*70+AR49*75+AR50*25+AR51*45+AR53*120+AR52*60</f>
        <v>309.5</v>
      </c>
      <c r="AS54" s="378"/>
      <c r="AT54" s="379"/>
    </row>
    <row r="55" spans="9:13" ht="22.5" customHeight="1">
      <c r="I55" s="488"/>
      <c r="J55" s="23" t="s">
        <v>202</v>
      </c>
      <c r="K55" s="52">
        <v>3</v>
      </c>
      <c r="L55" s="74">
        <f>ROUND($AF$1*K55/1000,1)</f>
        <v>0.2</v>
      </c>
      <c r="M55" s="73" t="s">
        <v>0</v>
      </c>
    </row>
    <row r="56" spans="9:13" ht="22.5" customHeight="1">
      <c r="I56" s="488"/>
      <c r="J56" s="52" t="s">
        <v>194</v>
      </c>
      <c r="K56" s="52">
        <v>15</v>
      </c>
      <c r="L56" s="74">
        <v>3</v>
      </c>
      <c r="M56" s="73" t="s">
        <v>0</v>
      </c>
    </row>
    <row r="57" spans="9:13" ht="22.5" customHeight="1">
      <c r="I57" s="488"/>
      <c r="J57" s="56"/>
      <c r="K57" s="56"/>
      <c r="L57" s="146"/>
      <c r="M57" s="148"/>
    </row>
    <row r="58" spans="9:13" ht="22.5" customHeight="1">
      <c r="I58" s="488"/>
      <c r="J58" s="56"/>
      <c r="K58" s="56"/>
      <c r="L58" s="146"/>
      <c r="M58" s="148"/>
    </row>
    <row r="59" spans="9:13" ht="22.5" customHeight="1" thickBot="1">
      <c r="I59" s="488"/>
      <c r="J59" s="56"/>
      <c r="K59" s="56"/>
      <c r="L59" s="156"/>
      <c r="M59" s="157"/>
    </row>
    <row r="60" spans="9:13" ht="22.5" customHeight="1">
      <c r="I60" s="423" t="s">
        <v>81</v>
      </c>
      <c r="J60" s="96" t="s">
        <v>82</v>
      </c>
      <c r="K60" s="380">
        <v>2.5</v>
      </c>
      <c r="L60" s="380"/>
      <c r="M60" s="381"/>
    </row>
    <row r="61" spans="9:13" ht="22.5" customHeight="1">
      <c r="I61" s="424"/>
      <c r="J61" s="98" t="s">
        <v>83</v>
      </c>
      <c r="K61" s="382">
        <v>0.5</v>
      </c>
      <c r="L61" s="382"/>
      <c r="M61" s="383"/>
    </row>
    <row r="62" spans="9:13" ht="22.5" customHeight="1">
      <c r="I62" s="424"/>
      <c r="J62" s="106" t="s">
        <v>86</v>
      </c>
      <c r="K62" s="382">
        <v>0.3</v>
      </c>
      <c r="L62" s="382"/>
      <c r="M62" s="383"/>
    </row>
    <row r="63" spans="9:13" ht="22.5" customHeight="1">
      <c r="I63" s="424"/>
      <c r="J63" s="107" t="s">
        <v>84</v>
      </c>
      <c r="K63" s="382">
        <v>0.7</v>
      </c>
      <c r="L63" s="382"/>
      <c r="M63" s="383"/>
    </row>
    <row r="64" spans="9:13" ht="22.5" customHeight="1">
      <c r="I64" s="424"/>
      <c r="J64" s="98" t="s">
        <v>87</v>
      </c>
      <c r="K64" s="382">
        <v>0</v>
      </c>
      <c r="L64" s="382"/>
      <c r="M64" s="383"/>
    </row>
    <row r="65" spans="9:13" ht="22.5" customHeight="1">
      <c r="I65" s="424"/>
      <c r="J65" s="98" t="s">
        <v>88</v>
      </c>
      <c r="K65" s="382">
        <v>0.6</v>
      </c>
      <c r="L65" s="382"/>
      <c r="M65" s="383"/>
    </row>
    <row r="66" spans="9:13" ht="22.5" customHeight="1" thickBot="1">
      <c r="I66" s="425"/>
      <c r="J66" s="109" t="s">
        <v>89</v>
      </c>
      <c r="K66" s="378">
        <f>K60*70+K61*75+K62*25+K63*45+K65*120+K64*60</f>
        <v>323.5</v>
      </c>
      <c r="L66" s="378"/>
      <c r="M66" s="379"/>
    </row>
  </sheetData>
  <sheetProtection selectLockedCells="1" selectUnlockedCells="1"/>
  <mergeCells count="110">
    <mergeCell ref="AR50:AT50"/>
    <mergeCell ref="K61:M61"/>
    <mergeCell ref="AR54:AT54"/>
    <mergeCell ref="R23:S23"/>
    <mergeCell ref="Q24:S24"/>
    <mergeCell ref="AP29:AP38"/>
    <mergeCell ref="AP39:AT39"/>
    <mergeCell ref="AP40:AP47"/>
    <mergeCell ref="AP48:AP54"/>
    <mergeCell ref="AR48:AT48"/>
    <mergeCell ref="AR49:AT49"/>
    <mergeCell ref="V2:V4"/>
    <mergeCell ref="AR51:AT51"/>
    <mergeCell ref="AR52:AT52"/>
    <mergeCell ref="AR53:AT53"/>
    <mergeCell ref="K66:M66"/>
    <mergeCell ref="AD2:AG2"/>
    <mergeCell ref="AD4:AG4"/>
    <mergeCell ref="V6:V15"/>
    <mergeCell ref="V16:Z16"/>
    <mergeCell ref="I41:I50"/>
    <mergeCell ref="I51:M51"/>
    <mergeCell ref="I52:I59"/>
    <mergeCell ref="I60:I66"/>
    <mergeCell ref="K60:M60"/>
    <mergeCell ref="W4:Z4"/>
    <mergeCell ref="K62:M62"/>
    <mergeCell ref="K63:M63"/>
    <mergeCell ref="K64:M64"/>
    <mergeCell ref="K65:M65"/>
    <mergeCell ref="AC5:AG5"/>
    <mergeCell ref="X28:Z28"/>
    <mergeCell ref="AC2:AC4"/>
    <mergeCell ref="C25:E25"/>
    <mergeCell ref="AC17:AC24"/>
    <mergeCell ref="V17:V24"/>
    <mergeCell ref="T25:U25"/>
    <mergeCell ref="V25:V31"/>
    <mergeCell ref="X25:Z25"/>
    <mergeCell ref="C28:E28"/>
    <mergeCell ref="X29:Z29"/>
    <mergeCell ref="AH25:AI25"/>
    <mergeCell ref="F25:G25"/>
    <mergeCell ref="AR19:AR26"/>
    <mergeCell ref="A17:A24"/>
    <mergeCell ref="H17:H24"/>
    <mergeCell ref="C26:E26"/>
    <mergeCell ref="J26:L26"/>
    <mergeCell ref="X27:Z27"/>
    <mergeCell ref="AE26:AG26"/>
    <mergeCell ref="O16:S16"/>
    <mergeCell ref="M25:N25"/>
    <mergeCell ref="O25:O31"/>
    <mergeCell ref="AE28:AG28"/>
    <mergeCell ref="AC25:AC31"/>
    <mergeCell ref="P4:S4"/>
    <mergeCell ref="Q26:S26"/>
    <mergeCell ref="X26:Z26"/>
    <mergeCell ref="Q30:S30"/>
    <mergeCell ref="Q29:S29"/>
    <mergeCell ref="I2:L2"/>
    <mergeCell ref="P2:S2"/>
    <mergeCell ref="O2:O4"/>
    <mergeCell ref="AR8:AR18"/>
    <mergeCell ref="A5:E5"/>
    <mergeCell ref="H5:L5"/>
    <mergeCell ref="O5:S5"/>
    <mergeCell ref="V5:Z5"/>
    <mergeCell ref="O17:O24"/>
    <mergeCell ref="W2:Z2"/>
    <mergeCell ref="A2:A4"/>
    <mergeCell ref="B2:E2"/>
    <mergeCell ref="H2:H4"/>
    <mergeCell ref="B4:E4"/>
    <mergeCell ref="I4:L4"/>
    <mergeCell ref="C30:E30"/>
    <mergeCell ref="J30:L30"/>
    <mergeCell ref="J27:L27"/>
    <mergeCell ref="C29:E29"/>
    <mergeCell ref="J29:L29"/>
    <mergeCell ref="O6:O15"/>
    <mergeCell ref="J25:L25"/>
    <mergeCell ref="Q27:S27"/>
    <mergeCell ref="Q28:S28"/>
    <mergeCell ref="A34:AH34"/>
    <mergeCell ref="A6:A15"/>
    <mergeCell ref="H6:H15"/>
    <mergeCell ref="H16:L16"/>
    <mergeCell ref="A16:E16"/>
    <mergeCell ref="AC6:AC15"/>
    <mergeCell ref="Q25:S25"/>
    <mergeCell ref="AE25:AG25"/>
    <mergeCell ref="P1:AD1"/>
    <mergeCell ref="A1:N1"/>
    <mergeCell ref="AC16:AG16"/>
    <mergeCell ref="C31:E31"/>
    <mergeCell ref="J31:L31"/>
    <mergeCell ref="Q31:S31"/>
    <mergeCell ref="AE30:AG30"/>
    <mergeCell ref="X30:Z30"/>
    <mergeCell ref="A25:A31"/>
    <mergeCell ref="AE27:AG27"/>
    <mergeCell ref="J28:L28"/>
    <mergeCell ref="AE31:AG31"/>
    <mergeCell ref="X31:Z31"/>
    <mergeCell ref="A33:AH33"/>
    <mergeCell ref="AA25:AB25"/>
    <mergeCell ref="H25:H31"/>
    <mergeCell ref="C27:E27"/>
    <mergeCell ref="AE29:AG29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3"/>
  <colBreaks count="1" manualBreakCount="1">
    <brk id="33" max="3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63"/>
  <sheetViews>
    <sheetView tabSelected="1" view="pageBreakPreview" zoomScaleNormal="50" zoomScaleSheetLayoutView="100" zoomScalePageLayoutView="0" workbookViewId="0" topLeftCell="A5">
      <selection activeCell="P20" sqref="P20"/>
    </sheetView>
  </sheetViews>
  <sheetFormatPr defaultColWidth="6.125" defaultRowHeight="22.5" customHeight="1"/>
  <cols>
    <col min="1" max="1" width="3.625" style="66" customWidth="1"/>
    <col min="2" max="2" width="20.50390625" style="67" bestFit="1" customWidth="1"/>
    <col min="3" max="3" width="6.125" style="67" customWidth="1"/>
    <col min="4" max="5" width="5.375" style="67" customWidth="1"/>
    <col min="6" max="6" width="6.125" style="68" customWidth="1"/>
    <col min="7" max="7" width="6.125" style="69" customWidth="1"/>
    <col min="8" max="8" width="3.625" style="66" customWidth="1"/>
    <col min="9" max="9" width="19.25390625" style="67" customWidth="1"/>
    <col min="10" max="10" width="6.125" style="67" customWidth="1"/>
    <col min="11" max="12" width="5.375" style="67" customWidth="1"/>
    <col min="13" max="13" width="5.50390625" style="68" customWidth="1"/>
    <col min="14" max="14" width="8.50390625" style="69" customWidth="1"/>
    <col min="15" max="15" width="3.625" style="66" customWidth="1"/>
    <col min="16" max="16" width="16.125" style="67" customWidth="1"/>
    <col min="17" max="17" width="6.125" style="67" customWidth="1"/>
    <col min="18" max="19" width="5.375" style="67" customWidth="1"/>
    <col min="20" max="20" width="6.125" style="68" customWidth="1"/>
    <col min="21" max="21" width="5.00390625" style="69" customWidth="1"/>
    <col min="22" max="22" width="3.625" style="70" customWidth="1"/>
    <col min="23" max="23" width="15.625" style="67" customWidth="1"/>
    <col min="24" max="24" width="6.125" style="67" customWidth="1"/>
    <col min="25" max="26" width="5.375" style="67" customWidth="1"/>
    <col min="27" max="27" width="5.875" style="68" customWidth="1"/>
    <col min="28" max="28" width="6.125" style="69" customWidth="1"/>
    <col min="29" max="29" width="3.625" style="66" customWidth="1"/>
    <col min="30" max="30" width="15.25390625" style="67" customWidth="1"/>
    <col min="31" max="31" width="6.125" style="67" customWidth="1"/>
    <col min="32" max="33" width="5.375" style="67" customWidth="1"/>
    <col min="34" max="34" width="6.125" style="71" customWidth="1"/>
    <col min="35" max="35" width="6.125" style="69" customWidth="1"/>
    <col min="36" max="36" width="8.00390625" style="72" bestFit="1" customWidth="1"/>
    <col min="37" max="37" width="6.25390625" style="72" bestFit="1" customWidth="1"/>
    <col min="38" max="43" width="6.125" style="72" customWidth="1"/>
    <col min="44" max="45" width="6.25390625" style="72" bestFit="1" customWidth="1"/>
    <col min="46" max="51" width="6.125" style="72" customWidth="1"/>
    <col min="52" max="52" width="6.25390625" style="72" bestFit="1" customWidth="1"/>
    <col min="53" max="16384" width="6.125" style="72" customWidth="1"/>
  </cols>
  <sheetData>
    <row r="1" spans="1:35" s="91" customFormat="1" ht="30" customHeight="1">
      <c r="A1" s="441" t="str">
        <f>'第二週'!A1</f>
        <v>僑愛國民小學112學年度上學期第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211">
        <f>'第二週'!O1+1</f>
        <v>12</v>
      </c>
      <c r="P1" s="377" t="s">
        <v>271</v>
      </c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240">
        <v>74</v>
      </c>
      <c r="AF1" s="240">
        <v>74</v>
      </c>
      <c r="AG1" s="240"/>
      <c r="AH1" s="123"/>
      <c r="AI1" s="124"/>
    </row>
    <row r="2" spans="1:35" s="40" customFormat="1" ht="18.75" customHeight="1">
      <c r="A2" s="507" t="s">
        <v>24</v>
      </c>
      <c r="B2" s="525">
        <f>'第二週'!B2+7</f>
        <v>45243</v>
      </c>
      <c r="C2" s="525"/>
      <c r="D2" s="525"/>
      <c r="E2" s="525"/>
      <c r="F2" s="125"/>
      <c r="G2" s="126"/>
      <c r="H2" s="504" t="s">
        <v>24</v>
      </c>
      <c r="I2" s="505">
        <f>B2+1</f>
        <v>45244</v>
      </c>
      <c r="J2" s="505"/>
      <c r="K2" s="505"/>
      <c r="L2" s="505"/>
      <c r="M2" s="127"/>
      <c r="N2" s="128"/>
      <c r="O2" s="504" t="s">
        <v>24</v>
      </c>
      <c r="P2" s="506">
        <f>I2+1</f>
        <v>45245</v>
      </c>
      <c r="Q2" s="506"/>
      <c r="R2" s="506"/>
      <c r="S2" s="506"/>
      <c r="T2" s="129"/>
      <c r="U2" s="130"/>
      <c r="V2" s="504" t="s">
        <v>24</v>
      </c>
      <c r="W2" s="510">
        <f>P2+1</f>
        <v>45246</v>
      </c>
      <c r="X2" s="510"/>
      <c r="Y2" s="510"/>
      <c r="Z2" s="510"/>
      <c r="AA2" s="131"/>
      <c r="AB2" s="132"/>
      <c r="AC2" s="507" t="s">
        <v>24</v>
      </c>
      <c r="AD2" s="512">
        <f>W2+1</f>
        <v>45247</v>
      </c>
      <c r="AE2" s="512"/>
      <c r="AF2" s="512"/>
      <c r="AG2" s="513"/>
      <c r="AH2" s="133"/>
      <c r="AI2" s="134"/>
    </row>
    <row r="3" spans="1:35" s="40" customFormat="1" ht="18.75" customHeight="1">
      <c r="A3" s="508"/>
      <c r="B3" s="41" t="s">
        <v>90</v>
      </c>
      <c r="C3" s="41" t="s">
        <v>26</v>
      </c>
      <c r="D3" s="42" t="s">
        <v>27</v>
      </c>
      <c r="E3" s="42"/>
      <c r="F3" s="43" t="s">
        <v>29</v>
      </c>
      <c r="G3" s="41" t="s">
        <v>30</v>
      </c>
      <c r="H3" s="472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1" t="s">
        <v>30</v>
      </c>
      <c r="O3" s="472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1" t="s">
        <v>30</v>
      </c>
      <c r="V3" s="472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508"/>
      <c r="AD3" s="41" t="s">
        <v>25</v>
      </c>
      <c r="AE3" s="41" t="s">
        <v>26</v>
      </c>
      <c r="AF3" s="48" t="s">
        <v>27</v>
      </c>
      <c r="AG3" s="135" t="s">
        <v>28</v>
      </c>
      <c r="AH3" s="136" t="s">
        <v>29</v>
      </c>
      <c r="AI3" s="137" t="s">
        <v>30</v>
      </c>
    </row>
    <row r="4" spans="1:35" s="49" customFormat="1" ht="18.75" customHeight="1" hidden="1">
      <c r="A4" s="508"/>
      <c r="B4" s="474" t="s">
        <v>31</v>
      </c>
      <c r="C4" s="474"/>
      <c r="D4" s="474"/>
      <c r="E4" s="474"/>
      <c r="F4" s="45"/>
      <c r="G4" s="46"/>
      <c r="H4" s="472"/>
      <c r="I4" s="474" t="s">
        <v>32</v>
      </c>
      <c r="J4" s="474"/>
      <c r="K4" s="474"/>
      <c r="L4" s="474"/>
      <c r="M4" s="45"/>
      <c r="N4" s="46"/>
      <c r="O4" s="472"/>
      <c r="P4" s="474" t="s">
        <v>33</v>
      </c>
      <c r="Q4" s="474"/>
      <c r="R4" s="474"/>
      <c r="S4" s="474"/>
      <c r="T4" s="43"/>
      <c r="U4" s="42"/>
      <c r="V4" s="472"/>
      <c r="W4" s="474" t="s">
        <v>34</v>
      </c>
      <c r="X4" s="474"/>
      <c r="Y4" s="474"/>
      <c r="Z4" s="474"/>
      <c r="AA4" s="45"/>
      <c r="AB4" s="47"/>
      <c r="AC4" s="509"/>
      <c r="AD4" s="514" t="s">
        <v>35</v>
      </c>
      <c r="AE4" s="514"/>
      <c r="AF4" s="514"/>
      <c r="AG4" s="515"/>
      <c r="AH4" s="138"/>
      <c r="AI4" s="46"/>
    </row>
    <row r="5" spans="1:43" s="49" customFormat="1" ht="18.75" customHeight="1">
      <c r="A5" s="524" t="s">
        <v>36</v>
      </c>
      <c r="B5" s="394"/>
      <c r="C5" s="394"/>
      <c r="D5" s="394"/>
      <c r="E5" s="394"/>
      <c r="F5" s="86"/>
      <c r="G5" s="87"/>
      <c r="H5" s="396" t="s">
        <v>36</v>
      </c>
      <c r="I5" s="394"/>
      <c r="J5" s="394"/>
      <c r="K5" s="394"/>
      <c r="L5" s="394"/>
      <c r="M5" s="86"/>
      <c r="N5" s="87"/>
      <c r="O5" s="396" t="s">
        <v>36</v>
      </c>
      <c r="P5" s="394"/>
      <c r="Q5" s="394"/>
      <c r="R5" s="394"/>
      <c r="S5" s="394"/>
      <c r="T5" s="86"/>
      <c r="U5" s="87"/>
      <c r="V5" s="396" t="s">
        <v>36</v>
      </c>
      <c r="W5" s="394"/>
      <c r="X5" s="394"/>
      <c r="Y5" s="394"/>
      <c r="Z5" s="394"/>
      <c r="AA5" s="86"/>
      <c r="AB5" s="88"/>
      <c r="AC5" s="521" t="s">
        <v>36</v>
      </c>
      <c r="AD5" s="522"/>
      <c r="AE5" s="522"/>
      <c r="AF5" s="522"/>
      <c r="AG5" s="523"/>
      <c r="AH5" s="45"/>
      <c r="AI5" s="46"/>
      <c r="AM5" s="463" t="s">
        <v>103</v>
      </c>
      <c r="AN5" s="23" t="s">
        <v>101</v>
      </c>
      <c r="AO5" s="23">
        <v>16</v>
      </c>
      <c r="AP5" s="74">
        <f>ROUND($AE$1*AO5/1000,1)</f>
        <v>1.2</v>
      </c>
      <c r="AQ5" s="73" t="s">
        <v>0</v>
      </c>
    </row>
    <row r="6" spans="1:43" s="49" customFormat="1" ht="18.75" customHeight="1">
      <c r="A6" s="463" t="s">
        <v>301</v>
      </c>
      <c r="B6" s="197" t="s">
        <v>257</v>
      </c>
      <c r="C6" s="172">
        <v>1</v>
      </c>
      <c r="D6" s="23">
        <f>ROUND($AE$1*C6,0)</f>
        <v>74</v>
      </c>
      <c r="E6" s="77" t="s">
        <v>15</v>
      </c>
      <c r="F6" s="373">
        <v>10.5</v>
      </c>
      <c r="G6" s="51">
        <f>D6*F6</f>
        <v>777</v>
      </c>
      <c r="H6" s="463" t="s">
        <v>176</v>
      </c>
      <c r="I6" s="23" t="s">
        <v>206</v>
      </c>
      <c r="J6" s="23">
        <v>0.7</v>
      </c>
      <c r="K6" s="74">
        <f>ROUND($AF$1*J6/7,0)</f>
        <v>7</v>
      </c>
      <c r="L6" s="74" t="s">
        <v>20</v>
      </c>
      <c r="M6" s="375"/>
      <c r="N6" s="51">
        <f aca="true" t="shared" si="0" ref="N6:N24">K6*M6</f>
        <v>0</v>
      </c>
      <c r="O6" s="511" t="s">
        <v>152</v>
      </c>
      <c r="P6" s="52" t="s">
        <v>244</v>
      </c>
      <c r="Q6" s="52">
        <v>75</v>
      </c>
      <c r="R6" s="23">
        <f>ROUND($AE$1*Q6/1000,0)</f>
        <v>6</v>
      </c>
      <c r="S6" s="74" t="s">
        <v>0</v>
      </c>
      <c r="T6" s="373">
        <v>38</v>
      </c>
      <c r="U6" s="51">
        <f aca="true" t="shared" si="1" ref="U6:U24">R6*T6</f>
        <v>228</v>
      </c>
      <c r="V6" s="466" t="s">
        <v>177</v>
      </c>
      <c r="W6" s="204" t="s">
        <v>205</v>
      </c>
      <c r="X6" s="23">
        <v>22</v>
      </c>
      <c r="Y6" s="23">
        <f>ROUND($AE$1*X6/1000,1)</f>
        <v>1.6</v>
      </c>
      <c r="Z6" s="23" t="s">
        <v>0</v>
      </c>
      <c r="AA6" s="373">
        <v>370</v>
      </c>
      <c r="AB6" s="51">
        <f>Y6*AA6</f>
        <v>592</v>
      </c>
      <c r="AC6" s="463" t="s">
        <v>148</v>
      </c>
      <c r="AD6" s="52" t="s">
        <v>267</v>
      </c>
      <c r="AE6" s="52">
        <v>13.5</v>
      </c>
      <c r="AF6" s="74">
        <f>ROUND($AE$1*AE6/1000,1)</f>
        <v>1</v>
      </c>
      <c r="AG6" s="73" t="s">
        <v>0</v>
      </c>
      <c r="AH6" s="373">
        <v>260</v>
      </c>
      <c r="AI6" s="51">
        <f>AF6*AH6</f>
        <v>260</v>
      </c>
      <c r="AM6" s="464"/>
      <c r="AN6" s="23" t="s">
        <v>71</v>
      </c>
      <c r="AO6" s="23">
        <v>1.5</v>
      </c>
      <c r="AP6" s="74">
        <f aca="true" t="shared" si="2" ref="AP6:AP11">ROUND($AE$1*AO6/1000,1)</f>
        <v>0.1</v>
      </c>
      <c r="AQ6" s="73" t="s">
        <v>0</v>
      </c>
    </row>
    <row r="7" spans="1:43" s="49" customFormat="1" ht="18.75" customHeight="1">
      <c r="A7" s="464"/>
      <c r="B7" s="239" t="s">
        <v>240</v>
      </c>
      <c r="C7" s="231">
        <v>120</v>
      </c>
      <c r="D7" s="23">
        <f>ROUND($AE$1*C7/1000,0)</f>
        <v>9</v>
      </c>
      <c r="E7" s="231" t="s">
        <v>48</v>
      </c>
      <c r="F7" s="373">
        <v>90</v>
      </c>
      <c r="G7" s="51">
        <f>D7*F7</f>
        <v>810</v>
      </c>
      <c r="H7" s="464"/>
      <c r="I7" s="23" t="s">
        <v>200</v>
      </c>
      <c r="J7" s="23">
        <v>0.8</v>
      </c>
      <c r="K7" s="74">
        <f>ROUND($AF$1*J7/12,0)</f>
        <v>5</v>
      </c>
      <c r="L7" s="74" t="s">
        <v>22</v>
      </c>
      <c r="M7" s="373">
        <v>75</v>
      </c>
      <c r="N7" s="51">
        <f t="shared" si="0"/>
        <v>375</v>
      </c>
      <c r="O7" s="511"/>
      <c r="P7" s="23" t="s">
        <v>170</v>
      </c>
      <c r="Q7" s="23">
        <v>15</v>
      </c>
      <c r="R7" s="74" t="s">
        <v>137</v>
      </c>
      <c r="S7" s="74" t="s">
        <v>0</v>
      </c>
      <c r="T7" s="373"/>
      <c r="U7" s="51"/>
      <c r="V7" s="467"/>
      <c r="W7" s="23" t="s">
        <v>92</v>
      </c>
      <c r="X7" s="23">
        <v>1</v>
      </c>
      <c r="Y7" s="23" t="s">
        <v>21</v>
      </c>
      <c r="Z7" s="23" t="s">
        <v>0</v>
      </c>
      <c r="AA7" s="373"/>
      <c r="AB7" s="51"/>
      <c r="AC7" s="464"/>
      <c r="AD7" s="52" t="s">
        <v>80</v>
      </c>
      <c r="AE7" s="52">
        <v>0.5</v>
      </c>
      <c r="AF7" s="74" t="s">
        <v>21</v>
      </c>
      <c r="AG7" s="73" t="s">
        <v>0</v>
      </c>
      <c r="AH7" s="373"/>
      <c r="AI7" s="51"/>
      <c r="AM7" s="464"/>
      <c r="AN7" s="147" t="s">
        <v>23</v>
      </c>
      <c r="AO7" s="141">
        <v>20</v>
      </c>
      <c r="AP7" s="74">
        <f t="shared" si="2"/>
        <v>1.5</v>
      </c>
      <c r="AQ7" s="73" t="s">
        <v>0</v>
      </c>
    </row>
    <row r="8" spans="1:43" s="49" customFormat="1" ht="18.75" customHeight="1">
      <c r="A8" s="464"/>
      <c r="B8" s="233"/>
      <c r="C8" s="151"/>
      <c r="D8" s="92"/>
      <c r="E8" s="92"/>
      <c r="F8" s="199"/>
      <c r="G8" s="51">
        <f aca="true" t="shared" si="3" ref="G8:G15">D8*F8</f>
        <v>0</v>
      </c>
      <c r="H8" s="464"/>
      <c r="I8" s="23" t="s">
        <v>60</v>
      </c>
      <c r="J8" s="23">
        <v>8.5</v>
      </c>
      <c r="K8" s="74">
        <f>ROUND($AF$1*J8/311,1)</f>
        <v>2</v>
      </c>
      <c r="L8" s="51" t="s">
        <v>19</v>
      </c>
      <c r="M8" s="373">
        <v>65</v>
      </c>
      <c r="N8" s="51">
        <f t="shared" si="0"/>
        <v>130</v>
      </c>
      <c r="O8" s="511"/>
      <c r="P8" s="23" t="s">
        <v>23</v>
      </c>
      <c r="Q8" s="23">
        <v>16</v>
      </c>
      <c r="R8" s="23">
        <f>ROUND($AE$1*Q8/1000,1)</f>
        <v>1.2</v>
      </c>
      <c r="S8" s="74" t="s">
        <v>0</v>
      </c>
      <c r="T8" s="373">
        <v>49</v>
      </c>
      <c r="U8" s="51">
        <f t="shared" si="1"/>
        <v>58.8</v>
      </c>
      <c r="V8" s="467"/>
      <c r="W8" s="23" t="s">
        <v>71</v>
      </c>
      <c r="X8" s="23">
        <v>1</v>
      </c>
      <c r="Y8" s="23">
        <f>ROUND($AE$1*X8/1000,1)</f>
        <v>0.1</v>
      </c>
      <c r="Z8" s="23" t="s">
        <v>0</v>
      </c>
      <c r="AA8" s="373">
        <v>110</v>
      </c>
      <c r="AB8" s="51">
        <f>Y8*AA8</f>
        <v>11</v>
      </c>
      <c r="AC8" s="464"/>
      <c r="AD8" s="52" t="s">
        <v>95</v>
      </c>
      <c r="AE8" s="52">
        <v>30</v>
      </c>
      <c r="AF8" s="74">
        <f>ROUND($AE$1*AE8/1000,1)</f>
        <v>2.2</v>
      </c>
      <c r="AG8" s="73" t="s">
        <v>0</v>
      </c>
      <c r="AH8" s="373">
        <v>95</v>
      </c>
      <c r="AI8" s="51">
        <f aca="true" t="shared" si="4" ref="AI8:AI24">AF8*AH8</f>
        <v>209.00000000000003</v>
      </c>
      <c r="AM8" s="464"/>
      <c r="AN8" s="23" t="s">
        <v>69</v>
      </c>
      <c r="AO8" s="23">
        <v>5</v>
      </c>
      <c r="AP8" s="74">
        <f t="shared" si="2"/>
        <v>0.4</v>
      </c>
      <c r="AQ8" s="74" t="s">
        <v>0</v>
      </c>
    </row>
    <row r="9" spans="1:43" s="49" customFormat="1" ht="18.75" customHeight="1">
      <c r="A9" s="464"/>
      <c r="B9" s="23"/>
      <c r="C9" s="23"/>
      <c r="D9" s="23"/>
      <c r="E9" s="74"/>
      <c r="F9" s="199"/>
      <c r="G9" s="51">
        <f t="shared" si="3"/>
        <v>0</v>
      </c>
      <c r="H9" s="464"/>
      <c r="I9" s="225" t="s">
        <v>208</v>
      </c>
      <c r="J9" s="226">
        <v>0.82</v>
      </c>
      <c r="K9" s="74">
        <f>ROUND($AF$1*J9/12,0)</f>
        <v>5</v>
      </c>
      <c r="L9" s="227" t="s">
        <v>20</v>
      </c>
      <c r="M9" s="373">
        <v>145</v>
      </c>
      <c r="N9" s="51">
        <f t="shared" si="0"/>
        <v>725</v>
      </c>
      <c r="O9" s="511"/>
      <c r="P9" s="23" t="s">
        <v>64</v>
      </c>
      <c r="Q9" s="23">
        <v>8</v>
      </c>
      <c r="R9" s="23">
        <f>ROUND($AE$1*Q9/1000,1)</f>
        <v>0.6</v>
      </c>
      <c r="S9" s="74" t="s">
        <v>0</v>
      </c>
      <c r="T9" s="373">
        <v>84</v>
      </c>
      <c r="U9" s="51">
        <f t="shared" si="1"/>
        <v>50.4</v>
      </c>
      <c r="V9" s="467"/>
      <c r="W9" s="23" t="s">
        <v>173</v>
      </c>
      <c r="X9" s="23">
        <v>2</v>
      </c>
      <c r="Y9" s="23" t="s">
        <v>21</v>
      </c>
      <c r="Z9" s="23" t="s">
        <v>0</v>
      </c>
      <c r="AA9" s="373"/>
      <c r="AB9" s="51"/>
      <c r="AC9" s="464"/>
      <c r="AD9" s="52" t="s">
        <v>204</v>
      </c>
      <c r="AE9" s="52">
        <v>13.6</v>
      </c>
      <c r="AF9" s="74">
        <f>ROUND($AE$1*AE9/250,1)</f>
        <v>4</v>
      </c>
      <c r="AG9" s="73" t="s">
        <v>20</v>
      </c>
      <c r="AH9" s="373">
        <v>28</v>
      </c>
      <c r="AI9" s="51">
        <f t="shared" si="4"/>
        <v>112</v>
      </c>
      <c r="AM9" s="464"/>
      <c r="AN9" s="23" t="s">
        <v>100</v>
      </c>
      <c r="AO9" s="23">
        <v>5</v>
      </c>
      <c r="AP9" s="74">
        <f t="shared" si="2"/>
        <v>0.4</v>
      </c>
      <c r="AQ9" s="74" t="s">
        <v>0</v>
      </c>
    </row>
    <row r="10" spans="1:46" s="49" customFormat="1" ht="18.75" customHeight="1">
      <c r="A10" s="464"/>
      <c r="B10" s="23"/>
      <c r="C10" s="23"/>
      <c r="D10" s="51"/>
      <c r="E10" s="51"/>
      <c r="F10" s="199"/>
      <c r="G10" s="51">
        <f t="shared" si="3"/>
        <v>0</v>
      </c>
      <c r="H10" s="464"/>
      <c r="I10" s="143"/>
      <c r="J10" s="52"/>
      <c r="K10" s="74"/>
      <c r="L10" s="74"/>
      <c r="M10" s="373"/>
      <c r="N10" s="51">
        <f t="shared" si="0"/>
        <v>0</v>
      </c>
      <c r="O10" s="511"/>
      <c r="P10" s="23" t="s">
        <v>132</v>
      </c>
      <c r="Q10" s="23">
        <v>8</v>
      </c>
      <c r="R10" s="23">
        <f>ROUND($AE$1*Q10/1000,1)</f>
        <v>0.6</v>
      </c>
      <c r="S10" s="74" t="s">
        <v>0</v>
      </c>
      <c r="T10" s="373">
        <v>135</v>
      </c>
      <c r="U10" s="51">
        <f t="shared" si="1"/>
        <v>81</v>
      </c>
      <c r="V10" s="467"/>
      <c r="W10" s="23" t="s">
        <v>174</v>
      </c>
      <c r="X10" s="52">
        <v>20</v>
      </c>
      <c r="Y10" s="74">
        <f>ROUND($AF$1*X10/600,0)</f>
        <v>2</v>
      </c>
      <c r="Z10" s="25" t="s">
        <v>119</v>
      </c>
      <c r="AA10" s="373">
        <v>66</v>
      </c>
      <c r="AB10" s="51">
        <f aca="true" t="shared" si="5" ref="AB10:AB15">Y10*AA10</f>
        <v>132</v>
      </c>
      <c r="AC10" s="464"/>
      <c r="AD10" s="52" t="s">
        <v>38</v>
      </c>
      <c r="AE10" s="52">
        <v>10</v>
      </c>
      <c r="AF10" s="74">
        <f>ROUND($AE$1*AE10/1000,1)</f>
        <v>0.7</v>
      </c>
      <c r="AG10" s="73" t="s">
        <v>0</v>
      </c>
      <c r="AH10" s="373">
        <v>103</v>
      </c>
      <c r="AI10" s="51">
        <f t="shared" si="4"/>
        <v>72.1</v>
      </c>
      <c r="AM10" s="464"/>
      <c r="AN10" s="23" t="s">
        <v>102</v>
      </c>
      <c r="AO10" s="23">
        <v>50</v>
      </c>
      <c r="AP10" s="74">
        <f t="shared" si="2"/>
        <v>3.7</v>
      </c>
      <c r="AQ10" s="74" t="s">
        <v>0</v>
      </c>
      <c r="AR10" s="23">
        <v>62</v>
      </c>
      <c r="AS10" s="74">
        <v>0.9</v>
      </c>
      <c r="AT10" s="73" t="s">
        <v>0</v>
      </c>
    </row>
    <row r="11" spans="1:46" s="49" customFormat="1" ht="18.75" customHeight="1">
      <c r="A11" s="464"/>
      <c r="B11" s="23"/>
      <c r="C11" s="23"/>
      <c r="D11" s="51"/>
      <c r="E11" s="51"/>
      <c r="F11" s="199"/>
      <c r="G11" s="51">
        <f t="shared" si="3"/>
        <v>0</v>
      </c>
      <c r="H11" s="464"/>
      <c r="I11" s="143" t="s">
        <v>237</v>
      </c>
      <c r="J11" s="77">
        <v>40</v>
      </c>
      <c r="K11" s="92">
        <f>ROUND($AE$1*J11/1000,0)</f>
        <v>3</v>
      </c>
      <c r="L11" s="77" t="s">
        <v>48</v>
      </c>
      <c r="M11" s="373">
        <v>45</v>
      </c>
      <c r="N11" s="51">
        <f t="shared" si="0"/>
        <v>135</v>
      </c>
      <c r="O11" s="511"/>
      <c r="P11" s="23" t="s">
        <v>153</v>
      </c>
      <c r="Q11" s="23">
        <v>33</v>
      </c>
      <c r="R11" s="23">
        <f>ROUND($AE$1*Q11/1000,1)</f>
        <v>2.4</v>
      </c>
      <c r="S11" s="74" t="s">
        <v>0</v>
      </c>
      <c r="T11" s="373">
        <v>101</v>
      </c>
      <c r="U11" s="51">
        <f t="shared" si="1"/>
        <v>242.39999999999998</v>
      </c>
      <c r="V11" s="467"/>
      <c r="W11" s="23" t="s">
        <v>1</v>
      </c>
      <c r="X11" s="23">
        <v>30</v>
      </c>
      <c r="Y11" s="23">
        <f>ROUND($AE$1*X11/1000,1)</f>
        <v>2.2</v>
      </c>
      <c r="Z11" s="23" t="s">
        <v>0</v>
      </c>
      <c r="AA11" s="373">
        <v>101</v>
      </c>
      <c r="AB11" s="51">
        <f t="shared" si="5"/>
        <v>222.20000000000002</v>
      </c>
      <c r="AC11" s="464"/>
      <c r="AD11" s="52" t="s">
        <v>63</v>
      </c>
      <c r="AE11" s="52">
        <v>3.5</v>
      </c>
      <c r="AF11" s="74">
        <f>ROUND($AE$1*AE11/1000,1)</f>
        <v>0.3</v>
      </c>
      <c r="AG11" s="73" t="s">
        <v>0</v>
      </c>
      <c r="AH11" s="373">
        <v>84</v>
      </c>
      <c r="AI11" s="51">
        <f t="shared" si="4"/>
        <v>25.2</v>
      </c>
      <c r="AM11" s="464"/>
      <c r="AN11" s="23" t="s">
        <v>1</v>
      </c>
      <c r="AO11" s="23">
        <v>20</v>
      </c>
      <c r="AP11" s="74">
        <f t="shared" si="2"/>
        <v>1.5</v>
      </c>
      <c r="AQ11" s="74" t="s">
        <v>0</v>
      </c>
      <c r="AR11" s="23">
        <v>23</v>
      </c>
      <c r="AS11" s="74">
        <v>1.5</v>
      </c>
      <c r="AT11" s="73" t="s">
        <v>0</v>
      </c>
    </row>
    <row r="12" spans="1:46" s="40" customFormat="1" ht="18.75" customHeight="1">
      <c r="A12" s="464"/>
      <c r="B12" s="23"/>
      <c r="C12" s="23"/>
      <c r="D12" s="51"/>
      <c r="E12" s="51"/>
      <c r="F12" s="199"/>
      <c r="G12" s="51">
        <f t="shared" si="3"/>
        <v>0</v>
      </c>
      <c r="H12" s="464"/>
      <c r="I12" s="56" t="s">
        <v>258</v>
      </c>
      <c r="J12" s="77">
        <v>80</v>
      </c>
      <c r="K12" s="92">
        <f>ROUND($AE$1*J12/1000,0)</f>
        <v>6</v>
      </c>
      <c r="L12" s="77" t="s">
        <v>48</v>
      </c>
      <c r="M12" s="373">
        <v>90</v>
      </c>
      <c r="N12" s="51">
        <f t="shared" si="0"/>
        <v>540</v>
      </c>
      <c r="O12" s="511"/>
      <c r="P12" s="23" t="s">
        <v>124</v>
      </c>
      <c r="Q12" s="23">
        <v>11</v>
      </c>
      <c r="R12" s="23">
        <f>ROUND($AE$1*Q12/400,1)</f>
        <v>2</v>
      </c>
      <c r="S12" s="73" t="s">
        <v>22</v>
      </c>
      <c r="T12" s="373">
        <v>17</v>
      </c>
      <c r="U12" s="51">
        <f t="shared" si="1"/>
        <v>34</v>
      </c>
      <c r="V12" s="467"/>
      <c r="W12" s="23"/>
      <c r="X12" s="23"/>
      <c r="Y12" s="23"/>
      <c r="Z12" s="23"/>
      <c r="AA12" s="373"/>
      <c r="AB12" s="51">
        <f t="shared" si="5"/>
        <v>0</v>
      </c>
      <c r="AC12" s="464"/>
      <c r="AD12" s="52" t="s">
        <v>132</v>
      </c>
      <c r="AE12" s="52">
        <v>3.5</v>
      </c>
      <c r="AF12" s="74">
        <f>ROUND($AE$1*AE12/1000,1)</f>
        <v>0.3</v>
      </c>
      <c r="AG12" s="73" t="s">
        <v>0</v>
      </c>
      <c r="AH12" s="373">
        <v>135</v>
      </c>
      <c r="AI12" s="51"/>
      <c r="AM12" s="464"/>
      <c r="AN12" s="23"/>
      <c r="AO12" s="23"/>
      <c r="AP12" s="74"/>
      <c r="AQ12" s="74"/>
      <c r="AR12" s="23">
        <v>1.5</v>
      </c>
      <c r="AS12" s="74">
        <v>0.1</v>
      </c>
      <c r="AT12" s="73" t="s">
        <v>0</v>
      </c>
    </row>
    <row r="13" spans="1:46" s="49" customFormat="1" ht="18.75" customHeight="1">
      <c r="A13" s="464"/>
      <c r="B13" s="23"/>
      <c r="C13" s="23"/>
      <c r="D13" s="51"/>
      <c r="E13" s="51"/>
      <c r="F13" s="199"/>
      <c r="G13" s="51">
        <f t="shared" si="3"/>
        <v>0</v>
      </c>
      <c r="H13" s="464"/>
      <c r="I13" s="23"/>
      <c r="J13" s="23"/>
      <c r="K13" s="74"/>
      <c r="L13" s="74"/>
      <c r="M13" s="373"/>
      <c r="N13" s="51">
        <f t="shared" si="0"/>
        <v>0</v>
      </c>
      <c r="O13" s="511"/>
      <c r="P13" s="52" t="s">
        <v>120</v>
      </c>
      <c r="Q13" s="52">
        <v>8</v>
      </c>
      <c r="R13" s="23">
        <f>ROUND($AE$1*Q13/1000,1)</f>
        <v>0.6</v>
      </c>
      <c r="S13" s="74" t="s">
        <v>0</v>
      </c>
      <c r="T13" s="373">
        <v>90</v>
      </c>
      <c r="U13" s="51">
        <f t="shared" si="1"/>
        <v>54</v>
      </c>
      <c r="V13" s="467"/>
      <c r="W13" s="23" t="s">
        <v>59</v>
      </c>
      <c r="X13" s="23">
        <v>61</v>
      </c>
      <c r="Y13" s="23">
        <f>ROUND($AE$1*X13/1000,1)</f>
        <v>4.5</v>
      </c>
      <c r="Z13" s="74" t="s">
        <v>0</v>
      </c>
      <c r="AA13" s="373">
        <v>175</v>
      </c>
      <c r="AB13" s="51">
        <f t="shared" si="5"/>
        <v>787.5</v>
      </c>
      <c r="AC13" s="464"/>
      <c r="AD13" s="52" t="s">
        <v>149</v>
      </c>
      <c r="AE13" s="52">
        <v>1.5</v>
      </c>
      <c r="AF13" s="74" t="s">
        <v>21</v>
      </c>
      <c r="AG13" s="73" t="s">
        <v>0</v>
      </c>
      <c r="AH13" s="373"/>
      <c r="AI13" s="51"/>
      <c r="AM13" s="464"/>
      <c r="AN13" s="79"/>
      <c r="AO13" s="58"/>
      <c r="AP13" s="74"/>
      <c r="AQ13" s="74"/>
      <c r="AR13" s="141">
        <v>18</v>
      </c>
      <c r="AS13" s="74">
        <v>1.5</v>
      </c>
      <c r="AT13" s="73" t="s">
        <v>0</v>
      </c>
    </row>
    <row r="14" spans="1:46" s="49" customFormat="1" ht="18.75" customHeight="1">
      <c r="A14" s="464"/>
      <c r="B14" s="23"/>
      <c r="C14" s="23"/>
      <c r="D14" s="51"/>
      <c r="E14" s="51"/>
      <c r="F14" s="199"/>
      <c r="G14" s="51">
        <f t="shared" si="3"/>
        <v>0</v>
      </c>
      <c r="H14" s="464"/>
      <c r="I14" s="52"/>
      <c r="J14" s="52"/>
      <c r="K14" s="74"/>
      <c r="L14" s="74"/>
      <c r="M14" s="373"/>
      <c r="N14" s="51">
        <f t="shared" si="0"/>
        <v>0</v>
      </c>
      <c r="O14" s="511"/>
      <c r="P14" s="52" t="s">
        <v>200</v>
      </c>
      <c r="Q14" s="52">
        <v>8</v>
      </c>
      <c r="R14" s="23">
        <f>ROUND($AE$1*Q14/600,1)</f>
        <v>1</v>
      </c>
      <c r="S14" s="74" t="s">
        <v>22</v>
      </c>
      <c r="T14" s="373">
        <v>75</v>
      </c>
      <c r="U14" s="51">
        <f t="shared" si="1"/>
        <v>75</v>
      </c>
      <c r="V14" s="467"/>
      <c r="W14" s="143"/>
      <c r="X14" s="143"/>
      <c r="Y14" s="92"/>
      <c r="Z14" s="92"/>
      <c r="AA14" s="373"/>
      <c r="AB14" s="51">
        <f t="shared" si="5"/>
        <v>0</v>
      </c>
      <c r="AC14" s="464"/>
      <c r="AD14" s="52" t="s">
        <v>150</v>
      </c>
      <c r="AE14" s="52">
        <v>0.14</v>
      </c>
      <c r="AF14" s="74">
        <f>ROUND($AE$1*AE14/5,1)</f>
        <v>2.1</v>
      </c>
      <c r="AG14" s="73" t="s">
        <v>151</v>
      </c>
      <c r="AH14" s="373">
        <v>14</v>
      </c>
      <c r="AI14" s="51">
        <f t="shared" si="4"/>
        <v>29.400000000000002</v>
      </c>
      <c r="AM14" s="464"/>
      <c r="AN14" s="58"/>
      <c r="AO14" s="58"/>
      <c r="AP14" s="74"/>
      <c r="AQ14" s="74"/>
      <c r="AR14" s="52">
        <v>19</v>
      </c>
      <c r="AS14" s="74">
        <v>1.2</v>
      </c>
      <c r="AT14" s="74" t="s">
        <v>0</v>
      </c>
    </row>
    <row r="15" spans="1:46" s="49" customFormat="1" ht="18.75" customHeight="1">
      <c r="A15" s="464"/>
      <c r="B15" s="23"/>
      <c r="C15" s="23"/>
      <c r="D15" s="51"/>
      <c r="E15" s="51"/>
      <c r="F15" s="199"/>
      <c r="G15" s="51">
        <f t="shared" si="3"/>
        <v>0</v>
      </c>
      <c r="H15" s="478"/>
      <c r="I15" s="52"/>
      <c r="J15" s="52"/>
      <c r="K15" s="74"/>
      <c r="L15" s="74"/>
      <c r="M15" s="373"/>
      <c r="N15" s="51">
        <f t="shared" si="0"/>
        <v>0</v>
      </c>
      <c r="O15" s="511"/>
      <c r="P15" s="52" t="s">
        <v>154</v>
      </c>
      <c r="Q15" s="23">
        <v>3.5</v>
      </c>
      <c r="R15" s="74" t="s">
        <v>137</v>
      </c>
      <c r="S15" s="74" t="s">
        <v>0</v>
      </c>
      <c r="T15" s="373"/>
      <c r="U15" s="51"/>
      <c r="V15" s="467"/>
      <c r="W15" s="143"/>
      <c r="X15" s="143"/>
      <c r="Y15" s="92"/>
      <c r="Z15" s="92"/>
      <c r="AA15" s="373"/>
      <c r="AB15" s="51">
        <f t="shared" si="5"/>
        <v>0</v>
      </c>
      <c r="AC15" s="464"/>
      <c r="AD15" s="52"/>
      <c r="AE15" s="52"/>
      <c r="AF15" s="74"/>
      <c r="AG15" s="73"/>
      <c r="AH15" s="373"/>
      <c r="AI15" s="51">
        <f t="shared" si="4"/>
        <v>0</v>
      </c>
      <c r="AM15" s="478"/>
      <c r="AN15" s="58"/>
      <c r="AO15" s="58"/>
      <c r="AP15" s="74"/>
      <c r="AQ15" s="74"/>
      <c r="AR15" s="23"/>
      <c r="AS15" s="74">
        <v>0.5</v>
      </c>
      <c r="AT15" s="74" t="s">
        <v>0</v>
      </c>
    </row>
    <row r="16" spans="1:46" s="49" customFormat="1" ht="18.75" customHeight="1">
      <c r="A16" s="398" t="s">
        <v>39</v>
      </c>
      <c r="B16" s="398"/>
      <c r="C16" s="398"/>
      <c r="D16" s="398"/>
      <c r="E16" s="398"/>
      <c r="F16" s="86"/>
      <c r="G16" s="87"/>
      <c r="H16" s="520" t="s">
        <v>39</v>
      </c>
      <c r="I16" s="394"/>
      <c r="J16" s="394"/>
      <c r="K16" s="394"/>
      <c r="L16" s="395"/>
      <c r="M16" s="374"/>
      <c r="N16" s="87"/>
      <c r="O16" s="398" t="s">
        <v>39</v>
      </c>
      <c r="P16" s="398"/>
      <c r="Q16" s="398"/>
      <c r="R16" s="398"/>
      <c r="S16" s="420"/>
      <c r="T16" s="374"/>
      <c r="U16" s="87"/>
      <c r="V16" s="398" t="s">
        <v>39</v>
      </c>
      <c r="W16" s="398"/>
      <c r="X16" s="398"/>
      <c r="Y16" s="398"/>
      <c r="Z16" s="398"/>
      <c r="AA16" s="374"/>
      <c r="AB16" s="87"/>
      <c r="AC16" s="398" t="s">
        <v>39</v>
      </c>
      <c r="AD16" s="398"/>
      <c r="AE16" s="398"/>
      <c r="AF16" s="398"/>
      <c r="AG16" s="398"/>
      <c r="AH16" s="374"/>
      <c r="AI16" s="87"/>
      <c r="AM16" s="501" t="s">
        <v>74</v>
      </c>
      <c r="AN16" s="23" t="s">
        <v>13</v>
      </c>
      <c r="AO16" s="23">
        <v>150</v>
      </c>
      <c r="AP16" s="74">
        <v>4</v>
      </c>
      <c r="AQ16" s="73" t="s">
        <v>48</v>
      </c>
      <c r="AR16" s="23"/>
      <c r="AS16" s="74"/>
      <c r="AT16" s="74"/>
    </row>
    <row r="17" spans="1:46" s="49" customFormat="1" ht="18.75" customHeight="1">
      <c r="A17" s="463" t="s">
        <v>287</v>
      </c>
      <c r="B17" s="23" t="s">
        <v>122</v>
      </c>
      <c r="C17" s="23">
        <v>15</v>
      </c>
      <c r="D17" s="23">
        <f>ROUND($AE$1*C17/1000,0)</f>
        <v>1</v>
      </c>
      <c r="E17" s="73" t="s">
        <v>0</v>
      </c>
      <c r="F17" s="373">
        <v>74</v>
      </c>
      <c r="G17" s="51">
        <f aca="true" t="shared" si="6" ref="G17:G24">D17*F17</f>
        <v>74</v>
      </c>
      <c r="H17" s="516" t="s">
        <v>161</v>
      </c>
      <c r="I17" s="58" t="s">
        <v>78</v>
      </c>
      <c r="J17" s="58">
        <v>10</v>
      </c>
      <c r="K17" s="92">
        <f aca="true" t="shared" si="7" ref="K17:K22">ROUND($AE$1*J17/1000,1)</f>
        <v>0.7</v>
      </c>
      <c r="L17" s="92" t="s">
        <v>0</v>
      </c>
      <c r="M17" s="373">
        <v>88</v>
      </c>
      <c r="N17" s="51">
        <f t="shared" si="0"/>
        <v>61.599999999999994</v>
      </c>
      <c r="O17" s="517" t="s">
        <v>91</v>
      </c>
      <c r="P17" s="23" t="s">
        <v>171</v>
      </c>
      <c r="Q17" s="29">
        <v>40.5</v>
      </c>
      <c r="R17" s="23">
        <f>ROUND($AE$1*Q17/1000,0)</f>
        <v>3</v>
      </c>
      <c r="S17" s="73" t="s">
        <v>0</v>
      </c>
      <c r="T17" s="373">
        <v>200</v>
      </c>
      <c r="U17" s="51">
        <f t="shared" si="1"/>
        <v>600</v>
      </c>
      <c r="V17" s="511" t="s">
        <v>165</v>
      </c>
      <c r="W17" s="61" t="s">
        <v>166</v>
      </c>
      <c r="X17" s="61">
        <v>15</v>
      </c>
      <c r="Y17" s="74" t="s">
        <v>21</v>
      </c>
      <c r="Z17" s="74" t="s">
        <v>0</v>
      </c>
      <c r="AA17" s="373"/>
      <c r="AB17" s="51"/>
      <c r="AC17" s="463" t="s">
        <v>91</v>
      </c>
      <c r="AD17" s="29" t="s">
        <v>43</v>
      </c>
      <c r="AE17" s="29">
        <v>40.5</v>
      </c>
      <c r="AF17" s="23">
        <f>ROUND($AE$1*AE17/1000,0)</f>
        <v>3</v>
      </c>
      <c r="AG17" s="74" t="s">
        <v>0</v>
      </c>
      <c r="AH17" s="373">
        <v>105</v>
      </c>
      <c r="AI17" s="51">
        <f t="shared" si="4"/>
        <v>315</v>
      </c>
      <c r="AM17" s="502"/>
      <c r="AN17" s="52" t="s">
        <v>72</v>
      </c>
      <c r="AO17" s="29"/>
      <c r="AP17" s="74">
        <v>2</v>
      </c>
      <c r="AQ17" s="73" t="s">
        <v>22</v>
      </c>
      <c r="AR17" s="52"/>
      <c r="AS17" s="74"/>
      <c r="AT17" s="74"/>
    </row>
    <row r="18" spans="1:46" s="49" customFormat="1" ht="18.75" customHeight="1">
      <c r="A18" s="464"/>
      <c r="B18" s="23" t="s">
        <v>200</v>
      </c>
      <c r="C18" s="23">
        <v>10</v>
      </c>
      <c r="D18" s="23">
        <f>ROUND($AE$1*C18/650,0)</f>
        <v>1</v>
      </c>
      <c r="E18" s="73" t="s">
        <v>22</v>
      </c>
      <c r="F18" s="373">
        <v>75</v>
      </c>
      <c r="G18" s="51">
        <f t="shared" si="6"/>
        <v>75</v>
      </c>
      <c r="H18" s="516"/>
      <c r="I18" s="23" t="s">
        <v>79</v>
      </c>
      <c r="J18" s="23">
        <v>10</v>
      </c>
      <c r="K18" s="92">
        <f t="shared" si="7"/>
        <v>0.7</v>
      </c>
      <c r="L18" s="92" t="s">
        <v>0</v>
      </c>
      <c r="M18" s="373">
        <v>90</v>
      </c>
      <c r="N18" s="51">
        <f t="shared" si="0"/>
        <v>62.99999999999999</v>
      </c>
      <c r="O18" s="518"/>
      <c r="P18" s="29" t="s">
        <v>59</v>
      </c>
      <c r="Q18" s="29">
        <v>40.5</v>
      </c>
      <c r="R18" s="23">
        <f>ROUND($AE$1*Q18/1000,0)</f>
        <v>3</v>
      </c>
      <c r="S18" s="73" t="s">
        <v>0</v>
      </c>
      <c r="T18" s="373">
        <v>175</v>
      </c>
      <c r="U18" s="51">
        <f t="shared" si="1"/>
        <v>525</v>
      </c>
      <c r="V18" s="511"/>
      <c r="W18" s="194" t="s">
        <v>167</v>
      </c>
      <c r="X18" s="61">
        <v>8</v>
      </c>
      <c r="Y18" s="23">
        <f>ROUND($AE$1*X18/300,0)</f>
        <v>2</v>
      </c>
      <c r="Z18" s="159" t="s">
        <v>22</v>
      </c>
      <c r="AA18" s="375"/>
      <c r="AB18" s="51">
        <f>Y18*AA18</f>
        <v>0</v>
      </c>
      <c r="AC18" s="464"/>
      <c r="AD18" s="29" t="s">
        <v>59</v>
      </c>
      <c r="AE18" s="29">
        <v>40.5</v>
      </c>
      <c r="AF18" s="23">
        <f>ROUND($AE$1*AE18/1000,0)</f>
        <v>3</v>
      </c>
      <c r="AG18" s="74" t="s">
        <v>0</v>
      </c>
      <c r="AH18" s="373">
        <v>175</v>
      </c>
      <c r="AI18" s="51">
        <f t="shared" si="4"/>
        <v>525</v>
      </c>
      <c r="AM18" s="502"/>
      <c r="AN18" s="29" t="s">
        <v>73</v>
      </c>
      <c r="AO18" s="29"/>
      <c r="AP18" s="74"/>
      <c r="AQ18" s="73"/>
      <c r="AR18" s="52"/>
      <c r="AS18" s="74"/>
      <c r="AT18" s="74"/>
    </row>
    <row r="19" spans="1:46" s="49" customFormat="1" ht="18.75" customHeight="1">
      <c r="A19" s="464"/>
      <c r="B19" s="23" t="s">
        <v>70</v>
      </c>
      <c r="C19" s="23">
        <v>5</v>
      </c>
      <c r="D19" s="23">
        <f>ROUND($AE$1*C19/1000,1)</f>
        <v>0.4</v>
      </c>
      <c r="E19" s="73" t="s">
        <v>0</v>
      </c>
      <c r="F19" s="373">
        <v>270</v>
      </c>
      <c r="G19" s="51">
        <f t="shared" si="6"/>
        <v>108</v>
      </c>
      <c r="H19" s="516"/>
      <c r="I19" s="23" t="s">
        <v>268</v>
      </c>
      <c r="J19" s="23">
        <v>19</v>
      </c>
      <c r="K19" s="92">
        <f t="shared" si="7"/>
        <v>1.4</v>
      </c>
      <c r="L19" s="92" t="s">
        <v>0</v>
      </c>
      <c r="M19" s="373">
        <v>59</v>
      </c>
      <c r="N19" s="51">
        <f t="shared" si="0"/>
        <v>82.6</v>
      </c>
      <c r="O19" s="518"/>
      <c r="P19" s="77" t="s">
        <v>17</v>
      </c>
      <c r="Q19" s="29">
        <v>40.5</v>
      </c>
      <c r="R19" s="23">
        <f>ROUND($AE$1*Q19/1000,0)</f>
        <v>3</v>
      </c>
      <c r="S19" s="73" t="s">
        <v>0</v>
      </c>
      <c r="T19" s="373">
        <v>300</v>
      </c>
      <c r="U19" s="51">
        <f t="shared" si="1"/>
        <v>900</v>
      </c>
      <c r="V19" s="511"/>
      <c r="W19" s="239" t="s">
        <v>240</v>
      </c>
      <c r="X19" s="231">
        <v>120</v>
      </c>
      <c r="Y19" s="232" t="s">
        <v>21</v>
      </c>
      <c r="Z19" s="231" t="s">
        <v>48</v>
      </c>
      <c r="AA19" s="373"/>
      <c r="AB19" s="51"/>
      <c r="AC19" s="464"/>
      <c r="AD19" s="160" t="s">
        <v>18</v>
      </c>
      <c r="AE19" s="29">
        <v>40.5</v>
      </c>
      <c r="AF19" s="23">
        <f>ROUND($AE$1*AE19/1000,0)</f>
        <v>3</v>
      </c>
      <c r="AG19" s="74" t="s">
        <v>0</v>
      </c>
      <c r="AH19" s="373">
        <v>105</v>
      </c>
      <c r="AI19" s="51">
        <f t="shared" si="4"/>
        <v>315</v>
      </c>
      <c r="AM19" s="502"/>
      <c r="AN19" s="59" t="s">
        <v>43</v>
      </c>
      <c r="AO19" s="23">
        <v>150</v>
      </c>
      <c r="AP19" s="74">
        <f>ROUND($AE$1*AO19/1000,1)</f>
        <v>11.1</v>
      </c>
      <c r="AQ19" s="74" t="s">
        <v>0</v>
      </c>
      <c r="AR19" s="23"/>
      <c r="AS19" s="74"/>
      <c r="AT19" s="74"/>
    </row>
    <row r="20" spans="1:43" s="49" customFormat="1" ht="18.75" customHeight="1">
      <c r="A20" s="464"/>
      <c r="B20" s="23" t="s">
        <v>64</v>
      </c>
      <c r="C20" s="23">
        <v>5</v>
      </c>
      <c r="D20" s="23">
        <f>ROUND($AE$1*C20/1000,1)</f>
        <v>0.4</v>
      </c>
      <c r="E20" s="73" t="s">
        <v>0</v>
      </c>
      <c r="F20" s="373">
        <v>84</v>
      </c>
      <c r="G20" s="51">
        <f t="shared" si="6"/>
        <v>33.6</v>
      </c>
      <c r="H20" s="516"/>
      <c r="I20" s="58" t="s">
        <v>162</v>
      </c>
      <c r="J20" s="58">
        <v>10</v>
      </c>
      <c r="K20" s="92">
        <f t="shared" si="7"/>
        <v>0.7</v>
      </c>
      <c r="L20" s="92" t="s">
        <v>0</v>
      </c>
      <c r="M20" s="373">
        <v>90</v>
      </c>
      <c r="N20" s="51">
        <f t="shared" si="0"/>
        <v>62.99999999999999</v>
      </c>
      <c r="O20" s="518"/>
      <c r="P20" s="23"/>
      <c r="Q20" s="23"/>
      <c r="R20" s="74"/>
      <c r="S20" s="74"/>
      <c r="T20" s="373"/>
      <c r="U20" s="51">
        <f t="shared" si="1"/>
        <v>0</v>
      </c>
      <c r="V20" s="511"/>
      <c r="W20" s="61" t="s">
        <v>168</v>
      </c>
      <c r="X20" s="23"/>
      <c r="Y20" s="74" t="s">
        <v>21</v>
      </c>
      <c r="Z20" s="74" t="s">
        <v>0</v>
      </c>
      <c r="AA20" s="373"/>
      <c r="AB20" s="51"/>
      <c r="AC20" s="464"/>
      <c r="AD20" s="23"/>
      <c r="AE20" s="23"/>
      <c r="AF20" s="74"/>
      <c r="AG20" s="73"/>
      <c r="AH20" s="199"/>
      <c r="AI20" s="51">
        <f t="shared" si="4"/>
        <v>0</v>
      </c>
      <c r="AM20" s="502"/>
      <c r="AN20" s="59"/>
      <c r="AO20" s="77"/>
      <c r="AP20" s="77"/>
      <c r="AQ20" s="77"/>
    </row>
    <row r="21" spans="1:43" s="49" customFormat="1" ht="18.75" customHeight="1">
      <c r="A21" s="464"/>
      <c r="B21" s="23" t="s">
        <v>123</v>
      </c>
      <c r="C21" s="23">
        <v>4</v>
      </c>
      <c r="D21" s="23">
        <f>ROUND($AE$1*C21/1000,1)</f>
        <v>0.3</v>
      </c>
      <c r="E21" s="73" t="s">
        <v>0</v>
      </c>
      <c r="F21" s="373">
        <v>500</v>
      </c>
      <c r="G21" s="51">
        <f t="shared" si="6"/>
        <v>150</v>
      </c>
      <c r="H21" s="516"/>
      <c r="I21" s="185" t="s">
        <v>64</v>
      </c>
      <c r="J21" s="23">
        <v>4</v>
      </c>
      <c r="K21" s="92">
        <f t="shared" si="7"/>
        <v>0.3</v>
      </c>
      <c r="L21" s="92" t="s">
        <v>0</v>
      </c>
      <c r="M21" s="373">
        <v>84</v>
      </c>
      <c r="N21" s="51">
        <f t="shared" si="0"/>
        <v>25.2</v>
      </c>
      <c r="O21" s="518"/>
      <c r="P21" s="230" t="s">
        <v>240</v>
      </c>
      <c r="Q21" s="231">
        <v>120</v>
      </c>
      <c r="R21" s="232" t="s">
        <v>21</v>
      </c>
      <c r="S21" s="231" t="s">
        <v>48</v>
      </c>
      <c r="T21" s="373"/>
      <c r="U21" s="51"/>
      <c r="V21" s="511"/>
      <c r="W21" s="233" t="s">
        <v>251</v>
      </c>
      <c r="X21" s="23"/>
      <c r="Y21" s="74"/>
      <c r="Z21" s="74"/>
      <c r="AA21" s="373"/>
      <c r="AB21" s="51">
        <f>Y21*AA21</f>
        <v>0</v>
      </c>
      <c r="AC21" s="464"/>
      <c r="AD21" s="239" t="s">
        <v>240</v>
      </c>
      <c r="AE21" s="231">
        <v>120</v>
      </c>
      <c r="AF21" s="232" t="s">
        <v>21</v>
      </c>
      <c r="AG21" s="231" t="s">
        <v>48</v>
      </c>
      <c r="AH21" s="199"/>
      <c r="AI21" s="51"/>
      <c r="AM21" s="502"/>
      <c r="AN21" s="151"/>
      <c r="AO21" s="151"/>
      <c r="AP21" s="92"/>
      <c r="AQ21" s="93"/>
    </row>
    <row r="22" spans="1:43" s="49" customFormat="1" ht="18.75" customHeight="1">
      <c r="A22" s="464"/>
      <c r="B22" s="55" t="s">
        <v>244</v>
      </c>
      <c r="C22" s="52">
        <v>35</v>
      </c>
      <c r="D22" s="23">
        <f>ROUND($AE$1*C22/1000,0)</f>
        <v>3</v>
      </c>
      <c r="E22" s="74" t="s">
        <v>0</v>
      </c>
      <c r="F22" s="373">
        <v>40</v>
      </c>
      <c r="G22" s="51">
        <f t="shared" si="6"/>
        <v>120</v>
      </c>
      <c r="H22" s="516"/>
      <c r="I22" s="185" t="s">
        <v>106</v>
      </c>
      <c r="J22" s="23">
        <v>4</v>
      </c>
      <c r="K22" s="92">
        <f t="shared" si="7"/>
        <v>0.3</v>
      </c>
      <c r="L22" s="92" t="s">
        <v>0</v>
      </c>
      <c r="M22" s="373">
        <v>350</v>
      </c>
      <c r="N22" s="51">
        <f t="shared" si="0"/>
        <v>105</v>
      </c>
      <c r="O22" s="518"/>
      <c r="P22" s="233" t="s">
        <v>251</v>
      </c>
      <c r="Q22" s="151"/>
      <c r="R22" s="92"/>
      <c r="S22" s="92"/>
      <c r="T22" s="199"/>
      <c r="U22" s="51">
        <f t="shared" si="1"/>
        <v>0</v>
      </c>
      <c r="V22" s="511"/>
      <c r="W22" s="23"/>
      <c r="X22" s="23"/>
      <c r="Y22" s="74"/>
      <c r="Z22" s="74"/>
      <c r="AA22" s="373"/>
      <c r="AB22" s="51">
        <f>Y22*AA22</f>
        <v>0</v>
      </c>
      <c r="AC22" s="464"/>
      <c r="AD22" s="233" t="s">
        <v>251</v>
      </c>
      <c r="AE22" s="151"/>
      <c r="AF22" s="92"/>
      <c r="AG22" s="92"/>
      <c r="AH22" s="199"/>
      <c r="AI22" s="51">
        <f t="shared" si="4"/>
        <v>0</v>
      </c>
      <c r="AM22" s="502"/>
      <c r="AN22" s="151"/>
      <c r="AO22" s="151"/>
      <c r="AP22" s="92"/>
      <c r="AQ22" s="93"/>
    </row>
    <row r="23" spans="1:43" s="49" customFormat="1" ht="18.75" customHeight="1">
      <c r="A23" s="464"/>
      <c r="B23" s="55"/>
      <c r="C23" s="52"/>
      <c r="D23" s="23"/>
      <c r="E23" s="74"/>
      <c r="F23" s="373"/>
      <c r="G23" s="51">
        <f t="shared" si="6"/>
        <v>0</v>
      </c>
      <c r="H23" s="516"/>
      <c r="I23" s="59" t="s">
        <v>175</v>
      </c>
      <c r="J23" s="77">
        <v>15</v>
      </c>
      <c r="K23" s="92">
        <f>ROUND($AE$1*J23/1000,0)</f>
        <v>1</v>
      </c>
      <c r="L23" s="77" t="s">
        <v>48</v>
      </c>
      <c r="M23" s="373">
        <v>95</v>
      </c>
      <c r="N23" s="51">
        <f t="shared" si="0"/>
        <v>95</v>
      </c>
      <c r="O23" s="518"/>
      <c r="P23" s="58"/>
      <c r="Q23" s="58"/>
      <c r="R23" s="74"/>
      <c r="S23" s="74"/>
      <c r="T23" s="199"/>
      <c r="U23" s="51">
        <f t="shared" si="1"/>
        <v>0</v>
      </c>
      <c r="V23" s="511"/>
      <c r="W23" s="61" t="s">
        <v>169</v>
      </c>
      <c r="X23" s="58"/>
      <c r="Y23" s="74"/>
      <c r="Z23" s="74"/>
      <c r="AA23" s="373"/>
      <c r="AB23" s="51">
        <f>Y23*AA23</f>
        <v>0</v>
      </c>
      <c r="AC23" s="464"/>
      <c r="AD23" s="58"/>
      <c r="AE23" s="58"/>
      <c r="AF23" s="74"/>
      <c r="AG23" s="73"/>
      <c r="AH23" s="199"/>
      <c r="AI23" s="51">
        <f t="shared" si="4"/>
        <v>0</v>
      </c>
      <c r="AM23" s="503"/>
      <c r="AN23" s="80"/>
      <c r="AO23" s="153"/>
      <c r="AP23" s="154"/>
      <c r="AQ23" s="155"/>
    </row>
    <row r="24" spans="1:35" s="49" customFormat="1" ht="18.75" customHeight="1" thickBot="1">
      <c r="A24" s="478"/>
      <c r="B24" s="23" t="s">
        <v>178</v>
      </c>
      <c r="C24" s="23">
        <v>68</v>
      </c>
      <c r="D24" s="23">
        <f>ROUND($AE$1*C24/1000,1)</f>
        <v>5</v>
      </c>
      <c r="E24" s="74" t="s">
        <v>0</v>
      </c>
      <c r="F24" s="376">
        <v>160</v>
      </c>
      <c r="G24" s="51">
        <f t="shared" si="6"/>
        <v>800</v>
      </c>
      <c r="H24" s="516"/>
      <c r="I24" s="59"/>
      <c r="J24" s="77"/>
      <c r="K24" s="77"/>
      <c r="L24" s="77"/>
      <c r="M24" s="200"/>
      <c r="N24" s="51">
        <f t="shared" si="0"/>
        <v>0</v>
      </c>
      <c r="O24" s="519"/>
      <c r="P24" s="58"/>
      <c r="Q24" s="58"/>
      <c r="R24" s="74"/>
      <c r="S24" s="74"/>
      <c r="T24" s="200"/>
      <c r="U24" s="51">
        <f t="shared" si="1"/>
        <v>0</v>
      </c>
      <c r="V24" s="463"/>
      <c r="W24" s="144"/>
      <c r="X24" s="144"/>
      <c r="Y24" s="145"/>
      <c r="Z24" s="145"/>
      <c r="AA24" s="200"/>
      <c r="AB24" s="51">
        <f>Y24*AA24</f>
        <v>0</v>
      </c>
      <c r="AC24" s="478"/>
      <c r="AD24" s="58"/>
      <c r="AE24" s="58"/>
      <c r="AF24" s="191"/>
      <c r="AG24" s="121"/>
      <c r="AH24" s="200"/>
      <c r="AI24" s="51">
        <f t="shared" si="4"/>
        <v>0</v>
      </c>
    </row>
    <row r="25" spans="1:46" s="40" customFormat="1" ht="18.75" customHeight="1">
      <c r="A25" s="453" t="s">
        <v>81</v>
      </c>
      <c r="B25" s="96" t="s">
        <v>82</v>
      </c>
      <c r="C25" s="380">
        <v>2</v>
      </c>
      <c r="D25" s="380"/>
      <c r="E25" s="381"/>
      <c r="F25" s="426">
        <f>SUM(G6:G24)</f>
        <v>2947.6</v>
      </c>
      <c r="G25" s="458"/>
      <c r="H25" s="423" t="s">
        <v>81</v>
      </c>
      <c r="I25" s="96" t="s">
        <v>82</v>
      </c>
      <c r="J25" s="380">
        <v>2</v>
      </c>
      <c r="K25" s="380"/>
      <c r="L25" s="381"/>
      <c r="M25" s="426">
        <f>SUM(N6:N24)</f>
        <v>2400.3999999999996</v>
      </c>
      <c r="N25" s="458"/>
      <c r="O25" s="459" t="s">
        <v>81</v>
      </c>
      <c r="P25" s="96" t="s">
        <v>82</v>
      </c>
      <c r="Q25" s="380">
        <v>2</v>
      </c>
      <c r="R25" s="380"/>
      <c r="S25" s="381"/>
      <c r="T25" s="426">
        <f>SUM(U6:U24)</f>
        <v>2848.6</v>
      </c>
      <c r="U25" s="458"/>
      <c r="V25" s="423" t="s">
        <v>81</v>
      </c>
      <c r="W25" s="96" t="s">
        <v>82</v>
      </c>
      <c r="X25" s="380">
        <v>2.8</v>
      </c>
      <c r="Y25" s="380"/>
      <c r="Z25" s="381"/>
      <c r="AA25" s="426">
        <f>SUM(AB6:AB24)</f>
        <v>1744.7</v>
      </c>
      <c r="AB25" s="458"/>
      <c r="AC25" s="459" t="s">
        <v>81</v>
      </c>
      <c r="AD25" s="96" t="s">
        <v>82</v>
      </c>
      <c r="AE25" s="380">
        <v>2</v>
      </c>
      <c r="AF25" s="380"/>
      <c r="AG25" s="381"/>
      <c r="AH25" s="426">
        <f>SUM(AI6:AI24)</f>
        <v>1862.7</v>
      </c>
      <c r="AI25" s="484"/>
      <c r="AJ25" s="97">
        <f aca="true" t="shared" si="8" ref="AJ25:AJ31">(AE25+X25+Q25+J25+C25)/5</f>
        <v>2.16</v>
      </c>
      <c r="AT25" s="64"/>
    </row>
    <row r="26" spans="1:46" s="40" customFormat="1" ht="18.75" customHeight="1">
      <c r="A26" s="454"/>
      <c r="B26" s="98" t="s">
        <v>83</v>
      </c>
      <c r="C26" s="382">
        <v>0.5</v>
      </c>
      <c r="D26" s="382"/>
      <c r="E26" s="383"/>
      <c r="F26" s="103"/>
      <c r="G26" s="100"/>
      <c r="H26" s="424"/>
      <c r="I26" s="98" t="s">
        <v>83</v>
      </c>
      <c r="J26" s="382">
        <v>0.6</v>
      </c>
      <c r="K26" s="382"/>
      <c r="L26" s="383"/>
      <c r="M26" s="101"/>
      <c r="N26" s="100"/>
      <c r="O26" s="460"/>
      <c r="P26" s="98" t="s">
        <v>83</v>
      </c>
      <c r="Q26" s="382">
        <v>0.7</v>
      </c>
      <c r="R26" s="382"/>
      <c r="S26" s="383"/>
      <c r="T26" s="101"/>
      <c r="U26" s="102"/>
      <c r="V26" s="424"/>
      <c r="W26" s="98" t="s">
        <v>83</v>
      </c>
      <c r="X26" s="382">
        <v>0.7</v>
      </c>
      <c r="Y26" s="382"/>
      <c r="Z26" s="383"/>
      <c r="AA26" s="99"/>
      <c r="AB26" s="100"/>
      <c r="AC26" s="460"/>
      <c r="AD26" s="98" t="s">
        <v>83</v>
      </c>
      <c r="AE26" s="382">
        <v>0.6</v>
      </c>
      <c r="AF26" s="382"/>
      <c r="AG26" s="383"/>
      <c r="AH26" s="104"/>
      <c r="AI26" s="105"/>
      <c r="AJ26" s="97">
        <f t="shared" si="8"/>
        <v>0.6199999999999999</v>
      </c>
      <c r="AT26" s="64"/>
    </row>
    <row r="27" spans="1:46" s="40" customFormat="1" ht="18.75" customHeight="1">
      <c r="A27" s="454"/>
      <c r="B27" s="106" t="s">
        <v>86</v>
      </c>
      <c r="C27" s="382">
        <v>0.3</v>
      </c>
      <c r="D27" s="382"/>
      <c r="E27" s="383"/>
      <c r="F27" s="103"/>
      <c r="G27" s="100"/>
      <c r="H27" s="424"/>
      <c r="I27" s="106" t="s">
        <v>86</v>
      </c>
      <c r="J27" s="382">
        <v>0.3</v>
      </c>
      <c r="K27" s="382"/>
      <c r="L27" s="383"/>
      <c r="M27" s="101"/>
      <c r="N27" s="100"/>
      <c r="O27" s="460"/>
      <c r="P27" s="106" t="s">
        <v>86</v>
      </c>
      <c r="Q27" s="382">
        <v>0.7</v>
      </c>
      <c r="R27" s="382"/>
      <c r="S27" s="383"/>
      <c r="T27" s="101"/>
      <c r="U27" s="102"/>
      <c r="V27" s="424"/>
      <c r="W27" s="106" t="s">
        <v>86</v>
      </c>
      <c r="X27" s="382">
        <v>0.4</v>
      </c>
      <c r="Y27" s="382"/>
      <c r="Z27" s="383"/>
      <c r="AA27" s="99"/>
      <c r="AB27" s="100"/>
      <c r="AC27" s="460"/>
      <c r="AD27" s="106" t="s">
        <v>86</v>
      </c>
      <c r="AE27" s="382">
        <v>0.4</v>
      </c>
      <c r="AF27" s="382"/>
      <c r="AG27" s="383"/>
      <c r="AH27" s="104"/>
      <c r="AI27" s="105"/>
      <c r="AJ27" s="97">
        <f t="shared" si="8"/>
        <v>0.42000000000000004</v>
      </c>
      <c r="AT27" s="72"/>
    </row>
    <row r="28" spans="1:46" s="40" customFormat="1" ht="18.75" customHeight="1">
      <c r="A28" s="454"/>
      <c r="B28" s="107" t="s">
        <v>84</v>
      </c>
      <c r="C28" s="382">
        <v>0.5</v>
      </c>
      <c r="D28" s="382"/>
      <c r="E28" s="383"/>
      <c r="F28" s="103"/>
      <c r="G28" s="100"/>
      <c r="H28" s="424"/>
      <c r="I28" s="107" t="s">
        <v>85</v>
      </c>
      <c r="J28" s="382">
        <v>0.5</v>
      </c>
      <c r="K28" s="382"/>
      <c r="L28" s="383"/>
      <c r="M28" s="101"/>
      <c r="N28" s="100"/>
      <c r="O28" s="460"/>
      <c r="P28" s="107" t="s">
        <v>84</v>
      </c>
      <c r="Q28" s="382">
        <v>0.5</v>
      </c>
      <c r="R28" s="382"/>
      <c r="S28" s="383"/>
      <c r="T28" s="101"/>
      <c r="U28" s="102"/>
      <c r="V28" s="424"/>
      <c r="W28" s="107" t="s">
        <v>84</v>
      </c>
      <c r="X28" s="382">
        <v>0.5</v>
      </c>
      <c r="Y28" s="382"/>
      <c r="Z28" s="383"/>
      <c r="AA28" s="99"/>
      <c r="AB28" s="100"/>
      <c r="AC28" s="460"/>
      <c r="AD28" s="107" t="s">
        <v>84</v>
      </c>
      <c r="AE28" s="382">
        <v>0.5</v>
      </c>
      <c r="AF28" s="382"/>
      <c r="AG28" s="383"/>
      <c r="AH28" s="104"/>
      <c r="AI28" s="105"/>
      <c r="AJ28" s="97">
        <f t="shared" si="8"/>
        <v>0.5</v>
      </c>
      <c r="AT28" s="72"/>
    </row>
    <row r="29" spans="1:46" s="40" customFormat="1" ht="18.75" customHeight="1">
      <c r="A29" s="454"/>
      <c r="B29" s="98" t="s">
        <v>87</v>
      </c>
      <c r="C29" s="382">
        <v>0.5</v>
      </c>
      <c r="D29" s="382"/>
      <c r="E29" s="383"/>
      <c r="F29" s="103"/>
      <c r="G29" s="100"/>
      <c r="H29" s="424"/>
      <c r="I29" s="98" t="s">
        <v>87</v>
      </c>
      <c r="J29" s="382">
        <v>0</v>
      </c>
      <c r="K29" s="382"/>
      <c r="L29" s="383"/>
      <c r="M29" s="101"/>
      <c r="N29" s="100"/>
      <c r="O29" s="460"/>
      <c r="P29" s="98" t="s">
        <v>87</v>
      </c>
      <c r="Q29" s="382">
        <v>1</v>
      </c>
      <c r="R29" s="382"/>
      <c r="S29" s="383"/>
      <c r="T29" s="101"/>
      <c r="U29" s="102"/>
      <c r="V29" s="424"/>
      <c r="W29" s="98" t="s">
        <v>87</v>
      </c>
      <c r="X29" s="382">
        <v>0.6</v>
      </c>
      <c r="Y29" s="382"/>
      <c r="Z29" s="383"/>
      <c r="AA29" s="99"/>
      <c r="AB29" s="100"/>
      <c r="AC29" s="460"/>
      <c r="AD29" s="98" t="s">
        <v>87</v>
      </c>
      <c r="AE29" s="382">
        <v>1</v>
      </c>
      <c r="AF29" s="382"/>
      <c r="AG29" s="383"/>
      <c r="AH29" s="104"/>
      <c r="AI29" s="105"/>
      <c r="AJ29" s="97">
        <f>(AE29+X29+Q29+J29+C29)/5</f>
        <v>0.62</v>
      </c>
      <c r="AT29" s="72"/>
    </row>
    <row r="30" spans="1:46" s="40" customFormat="1" ht="18.75" customHeight="1">
      <c r="A30" s="454"/>
      <c r="B30" s="98" t="s">
        <v>88</v>
      </c>
      <c r="C30" s="382">
        <v>0.6</v>
      </c>
      <c r="D30" s="382"/>
      <c r="E30" s="383"/>
      <c r="F30" s="103"/>
      <c r="G30" s="100"/>
      <c r="H30" s="424"/>
      <c r="I30" s="98" t="s">
        <v>88</v>
      </c>
      <c r="J30" s="382">
        <v>0.4</v>
      </c>
      <c r="K30" s="382"/>
      <c r="L30" s="383"/>
      <c r="M30" s="108"/>
      <c r="N30" s="100"/>
      <c r="O30" s="460"/>
      <c r="P30" s="98" t="s">
        <v>88</v>
      </c>
      <c r="Q30" s="382">
        <v>0.6</v>
      </c>
      <c r="R30" s="382"/>
      <c r="S30" s="383"/>
      <c r="T30" s="101"/>
      <c r="U30" s="102"/>
      <c r="V30" s="424"/>
      <c r="W30" s="98" t="s">
        <v>88</v>
      </c>
      <c r="X30" s="382">
        <v>0.6</v>
      </c>
      <c r="Y30" s="382"/>
      <c r="Z30" s="383"/>
      <c r="AA30" s="99"/>
      <c r="AB30" s="100"/>
      <c r="AC30" s="460"/>
      <c r="AD30" s="98" t="s">
        <v>88</v>
      </c>
      <c r="AE30" s="382">
        <v>0.6</v>
      </c>
      <c r="AF30" s="382"/>
      <c r="AG30" s="383"/>
      <c r="AH30" s="104"/>
      <c r="AI30" s="105"/>
      <c r="AJ30" s="97">
        <f t="shared" si="8"/>
        <v>0.5599999999999999</v>
      </c>
      <c r="AK30" s="40">
        <v>0.2</v>
      </c>
      <c r="AT30" s="72"/>
    </row>
    <row r="31" spans="1:46" s="40" customFormat="1" ht="18.75" customHeight="1" thickBot="1">
      <c r="A31" s="455"/>
      <c r="B31" s="109" t="s">
        <v>89</v>
      </c>
      <c r="C31" s="378">
        <f>C25*70+C26*75+C27*25+C28*45+C30*120+C29*60</f>
        <v>309.5</v>
      </c>
      <c r="D31" s="378"/>
      <c r="E31" s="379"/>
      <c r="F31" s="114"/>
      <c r="G31" s="111"/>
      <c r="H31" s="425"/>
      <c r="I31" s="109" t="s">
        <v>89</v>
      </c>
      <c r="J31" s="378">
        <f>J25*70+J26*75+J27*25+J28*45+J30*120+J29*60</f>
        <v>263</v>
      </c>
      <c r="K31" s="378"/>
      <c r="L31" s="379"/>
      <c r="M31" s="112"/>
      <c r="N31" s="111"/>
      <c r="O31" s="461"/>
      <c r="P31" s="109" t="s">
        <v>89</v>
      </c>
      <c r="Q31" s="378">
        <f>Q25*70+Q26*75+Q27*25+Q28*45+Q30*120+Q29*60</f>
        <v>364.5</v>
      </c>
      <c r="R31" s="378"/>
      <c r="S31" s="379"/>
      <c r="T31" s="112"/>
      <c r="U31" s="113"/>
      <c r="V31" s="425"/>
      <c r="W31" s="109" t="s">
        <v>89</v>
      </c>
      <c r="X31" s="378">
        <f>X25*70+X26*75+X27*25+X28*45+X30*120+X29*60</f>
        <v>389</v>
      </c>
      <c r="Y31" s="378"/>
      <c r="Z31" s="379"/>
      <c r="AA31" s="110"/>
      <c r="AB31" s="111"/>
      <c r="AC31" s="461"/>
      <c r="AD31" s="109" t="s">
        <v>89</v>
      </c>
      <c r="AE31" s="378">
        <f>AE25*70+AE26*75+AE27*25+AE28*45+AE30*120+AE29*60</f>
        <v>349.5</v>
      </c>
      <c r="AF31" s="378"/>
      <c r="AG31" s="379"/>
      <c r="AH31" s="115"/>
      <c r="AI31" s="116"/>
      <c r="AJ31" s="97">
        <f t="shared" si="8"/>
        <v>335.1</v>
      </c>
      <c r="AT31" s="72"/>
    </row>
    <row r="32" spans="1:52" s="49" customFormat="1" ht="18.75" customHeight="1">
      <c r="A32" s="81"/>
      <c r="B32" s="82"/>
      <c r="C32" s="82"/>
      <c r="D32" s="117"/>
      <c r="E32" s="117"/>
      <c r="F32" s="83"/>
      <c r="G32" s="82"/>
      <c r="H32" s="84"/>
      <c r="I32" s="82"/>
      <c r="J32" s="82"/>
      <c r="K32" s="117"/>
      <c r="L32" s="117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17"/>
      <c r="AG32" s="117"/>
      <c r="AH32" s="83"/>
      <c r="AI32" s="82"/>
      <c r="AJ32" s="83"/>
      <c r="AK32" s="82"/>
      <c r="AT32" s="72"/>
      <c r="AU32" s="23"/>
      <c r="AV32" s="23"/>
      <c r="AW32" s="74"/>
      <c r="AX32" s="73"/>
      <c r="AY32" s="50"/>
      <c r="AZ32" s="51"/>
    </row>
    <row r="33" spans="1:63" s="49" customFormat="1" ht="19.5" customHeight="1">
      <c r="A33" s="456" t="s">
        <v>51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118"/>
      <c r="AJ33" s="118"/>
      <c r="AK33" s="62"/>
      <c r="AL33" s="63"/>
      <c r="AM33" s="63"/>
      <c r="AN33" s="64"/>
      <c r="AO33" s="64"/>
      <c r="AP33" s="64"/>
      <c r="AQ33" s="64"/>
      <c r="AR33" s="64"/>
      <c r="AS33" s="64"/>
      <c r="AT33" s="72"/>
      <c r="AU33" s="23"/>
      <c r="AV33" s="23"/>
      <c r="AW33" s="92"/>
      <c r="AX33" s="93"/>
      <c r="AY33" s="50"/>
      <c r="AZ33" s="51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1:63" s="49" customFormat="1" ht="22.5" customHeight="1">
      <c r="A34" s="465" t="s">
        <v>62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119"/>
      <c r="AJ34" s="119"/>
      <c r="AK34" s="64"/>
      <c r="AL34" s="65"/>
      <c r="AM34" s="65"/>
      <c r="AN34" s="64"/>
      <c r="AO34" s="64"/>
      <c r="AP34" s="64"/>
      <c r="AQ34" s="64"/>
      <c r="AR34" s="64"/>
      <c r="AS34" s="64"/>
      <c r="AT34" s="72"/>
      <c r="AU34" s="23"/>
      <c r="AV34" s="23"/>
      <c r="AW34" s="92"/>
      <c r="AX34" s="93"/>
      <c r="AY34" s="50"/>
      <c r="AZ34" s="51">
        <f>AW34*AY34</f>
        <v>0</v>
      </c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8" spans="2:8" ht="22.5" customHeight="1">
      <c r="B38" s="463" t="s">
        <v>255</v>
      </c>
      <c r="C38" s="197" t="s">
        <v>257</v>
      </c>
      <c r="D38" s="172">
        <v>1</v>
      </c>
      <c r="E38" s="23">
        <f>ROUND($AE$1*D38,0)</f>
        <v>74</v>
      </c>
      <c r="F38" s="77" t="s">
        <v>15</v>
      </c>
      <c r="G38" s="199"/>
      <c r="H38" s="51">
        <f>E38*G38</f>
        <v>0</v>
      </c>
    </row>
    <row r="39" spans="2:8" ht="22.5" customHeight="1">
      <c r="B39" s="464"/>
      <c r="C39" s="239" t="s">
        <v>240</v>
      </c>
      <c r="D39" s="231">
        <v>120</v>
      </c>
      <c r="E39" s="232" t="s">
        <v>21</v>
      </c>
      <c r="F39" s="231" t="s">
        <v>48</v>
      </c>
      <c r="G39" s="199"/>
      <c r="H39" s="51"/>
    </row>
    <row r="40" spans="2:8" ht="22.5" customHeight="1">
      <c r="B40" s="464"/>
      <c r="C40" s="233" t="s">
        <v>251</v>
      </c>
      <c r="D40" s="151"/>
      <c r="E40" s="92"/>
      <c r="F40" s="92"/>
      <c r="G40" s="199"/>
      <c r="H40" s="51">
        <f aca="true" t="shared" si="9" ref="H40:H47">E40*G40</f>
        <v>0</v>
      </c>
    </row>
    <row r="41" spans="2:8" ht="22.5" customHeight="1">
      <c r="B41" s="464"/>
      <c r="C41" s="23"/>
      <c r="D41" s="23"/>
      <c r="E41" s="23"/>
      <c r="F41" s="74"/>
      <c r="G41" s="199"/>
      <c r="H41" s="51">
        <f t="shared" si="9"/>
        <v>0</v>
      </c>
    </row>
    <row r="42" spans="2:8" ht="22.5" customHeight="1">
      <c r="B42" s="464"/>
      <c r="C42" s="23"/>
      <c r="D42" s="23"/>
      <c r="E42" s="51"/>
      <c r="F42" s="51"/>
      <c r="G42" s="199"/>
      <c r="H42" s="51">
        <f t="shared" si="9"/>
        <v>0</v>
      </c>
    </row>
    <row r="43" spans="2:8" ht="22.5" customHeight="1">
      <c r="B43" s="464"/>
      <c r="C43" s="23"/>
      <c r="D43" s="23"/>
      <c r="E43" s="51"/>
      <c r="F43" s="51"/>
      <c r="G43" s="199"/>
      <c r="H43" s="51">
        <f t="shared" si="9"/>
        <v>0</v>
      </c>
    </row>
    <row r="44" spans="2:8" ht="22.5" customHeight="1">
      <c r="B44" s="464"/>
      <c r="C44" s="23"/>
      <c r="D44" s="23"/>
      <c r="E44" s="51"/>
      <c r="F44" s="51"/>
      <c r="G44" s="199"/>
      <c r="H44" s="51">
        <f t="shared" si="9"/>
        <v>0</v>
      </c>
    </row>
    <row r="45" spans="2:8" ht="22.5" customHeight="1">
      <c r="B45" s="464"/>
      <c r="C45" s="23"/>
      <c r="D45" s="23"/>
      <c r="E45" s="51"/>
      <c r="F45" s="51"/>
      <c r="G45" s="199"/>
      <c r="H45" s="51">
        <f t="shared" si="9"/>
        <v>0</v>
      </c>
    </row>
    <row r="46" spans="2:8" ht="22.5" customHeight="1">
      <c r="B46" s="464"/>
      <c r="C46" s="23"/>
      <c r="D46" s="23"/>
      <c r="E46" s="51"/>
      <c r="F46" s="51"/>
      <c r="G46" s="199"/>
      <c r="H46" s="51">
        <f t="shared" si="9"/>
        <v>0</v>
      </c>
    </row>
    <row r="47" spans="2:8" ht="22.5" customHeight="1">
      <c r="B47" s="464"/>
      <c r="C47" s="23"/>
      <c r="D47" s="23"/>
      <c r="E47" s="51"/>
      <c r="F47" s="51"/>
      <c r="G47" s="199"/>
      <c r="H47" s="51">
        <f t="shared" si="9"/>
        <v>0</v>
      </c>
    </row>
    <row r="48" spans="2:8" ht="22.5" customHeight="1">
      <c r="B48" s="398" t="s">
        <v>39</v>
      </c>
      <c r="C48" s="398"/>
      <c r="D48" s="398"/>
      <c r="E48" s="398"/>
      <c r="F48" s="398"/>
      <c r="G48" s="86"/>
      <c r="H48" s="87"/>
    </row>
    <row r="49" spans="2:8" ht="22.5" customHeight="1">
      <c r="B49" s="463" t="s">
        <v>256</v>
      </c>
      <c r="C49" s="23" t="s">
        <v>122</v>
      </c>
      <c r="D49" s="23">
        <v>31</v>
      </c>
      <c r="E49" s="23">
        <f>ROUND($AE$1*D49/1000,0)</f>
        <v>2</v>
      </c>
      <c r="F49" s="73" t="s">
        <v>0</v>
      </c>
      <c r="G49" s="199"/>
      <c r="H49" s="51">
        <f aca="true" t="shared" si="10" ref="H49:H56">E49*G49</f>
        <v>0</v>
      </c>
    </row>
    <row r="50" spans="2:8" ht="22.5" customHeight="1">
      <c r="B50" s="464"/>
      <c r="C50" s="23" t="s">
        <v>200</v>
      </c>
      <c r="D50" s="23">
        <v>10</v>
      </c>
      <c r="E50" s="23">
        <f>ROUND($AE$1*D50/1000,0)</f>
        <v>1</v>
      </c>
      <c r="F50" s="73" t="s">
        <v>0</v>
      </c>
      <c r="G50" s="199"/>
      <c r="H50" s="51">
        <f t="shared" si="10"/>
        <v>0</v>
      </c>
    </row>
    <row r="51" spans="2:8" ht="22.5" customHeight="1">
      <c r="B51" s="464"/>
      <c r="C51" s="23" t="s">
        <v>70</v>
      </c>
      <c r="D51" s="23">
        <v>5</v>
      </c>
      <c r="E51" s="23">
        <f>ROUND($AE$1*D51/1000,1)</f>
        <v>0.4</v>
      </c>
      <c r="F51" s="73" t="s">
        <v>0</v>
      </c>
      <c r="G51" s="199"/>
      <c r="H51" s="51">
        <f t="shared" si="10"/>
        <v>0</v>
      </c>
    </row>
    <row r="52" spans="2:8" ht="22.5" customHeight="1">
      <c r="B52" s="464"/>
      <c r="C52" s="23" t="s">
        <v>64</v>
      </c>
      <c r="D52" s="23">
        <v>5</v>
      </c>
      <c r="E52" s="23">
        <f>ROUND($AE$1*D52/1000,1)</f>
        <v>0.4</v>
      </c>
      <c r="F52" s="73" t="s">
        <v>0</v>
      </c>
      <c r="G52" s="199"/>
      <c r="H52" s="51">
        <f t="shared" si="10"/>
        <v>0</v>
      </c>
    </row>
    <row r="53" spans="2:8" ht="22.5" customHeight="1">
      <c r="B53" s="464"/>
      <c r="C53" s="23" t="s">
        <v>123</v>
      </c>
      <c r="D53" s="23">
        <v>4</v>
      </c>
      <c r="E53" s="23">
        <f>ROUND($AE$1*D53/1000,1)</f>
        <v>0.3</v>
      </c>
      <c r="F53" s="73" t="s">
        <v>0</v>
      </c>
      <c r="G53" s="199"/>
      <c r="H53" s="51">
        <f t="shared" si="10"/>
        <v>0</v>
      </c>
    </row>
    <row r="54" spans="2:8" ht="22.5" customHeight="1">
      <c r="B54" s="464"/>
      <c r="C54" s="23" t="s">
        <v>124</v>
      </c>
      <c r="D54" s="23">
        <v>11</v>
      </c>
      <c r="E54" s="23">
        <f>ROUND($AE$1*D54/400,1)</f>
        <v>2</v>
      </c>
      <c r="F54" s="73" t="s">
        <v>22</v>
      </c>
      <c r="G54" s="199"/>
      <c r="H54" s="51">
        <f t="shared" si="10"/>
        <v>0</v>
      </c>
    </row>
    <row r="55" spans="2:8" ht="22.5" customHeight="1">
      <c r="B55" s="464"/>
      <c r="C55" s="161"/>
      <c r="D55" s="161"/>
      <c r="E55" s="74"/>
      <c r="F55" s="73"/>
      <c r="G55" s="199"/>
      <c r="H55" s="51">
        <f t="shared" si="10"/>
        <v>0</v>
      </c>
    </row>
    <row r="56" spans="2:8" ht="22.5" customHeight="1" thickBot="1">
      <c r="B56" s="478"/>
      <c r="C56" s="23" t="s">
        <v>178</v>
      </c>
      <c r="D56" s="23">
        <v>70</v>
      </c>
      <c r="E56" s="23">
        <f>ROUND($AE$1*D56/1000,1)</f>
        <v>5.2</v>
      </c>
      <c r="F56" s="74" t="s">
        <v>0</v>
      </c>
      <c r="G56" s="200"/>
      <c r="H56" s="51">
        <f t="shared" si="10"/>
        <v>0</v>
      </c>
    </row>
    <row r="57" spans="2:8" ht="22.5" customHeight="1">
      <c r="B57" s="423" t="s">
        <v>81</v>
      </c>
      <c r="C57" s="96" t="s">
        <v>82</v>
      </c>
      <c r="D57" s="380">
        <v>2</v>
      </c>
      <c r="E57" s="380"/>
      <c r="F57" s="381"/>
      <c r="G57" s="426">
        <f>SUM(H38:H56)</f>
        <v>0</v>
      </c>
      <c r="H57" s="458"/>
    </row>
    <row r="58" spans="2:8" ht="22.5" customHeight="1">
      <c r="B58" s="424"/>
      <c r="C58" s="98" t="s">
        <v>83</v>
      </c>
      <c r="D58" s="382">
        <v>0.5</v>
      </c>
      <c r="E58" s="382"/>
      <c r="F58" s="383"/>
      <c r="G58" s="103"/>
      <c r="H58" s="100"/>
    </row>
    <row r="59" spans="2:8" ht="22.5" customHeight="1">
      <c r="B59" s="424"/>
      <c r="C59" s="106" t="s">
        <v>86</v>
      </c>
      <c r="D59" s="382">
        <v>0.7</v>
      </c>
      <c r="E59" s="382"/>
      <c r="F59" s="383"/>
      <c r="G59" s="103"/>
      <c r="H59" s="100"/>
    </row>
    <row r="60" spans="2:8" ht="22.5" customHeight="1">
      <c r="B60" s="424"/>
      <c r="C60" s="107" t="s">
        <v>84</v>
      </c>
      <c r="D60" s="382">
        <v>0.5</v>
      </c>
      <c r="E60" s="382"/>
      <c r="F60" s="383"/>
      <c r="G60" s="103"/>
      <c r="H60" s="100"/>
    </row>
    <row r="61" spans="2:8" ht="22.5" customHeight="1">
      <c r="B61" s="424"/>
      <c r="C61" s="98" t="s">
        <v>87</v>
      </c>
      <c r="D61" s="382">
        <v>0.8</v>
      </c>
      <c r="E61" s="382"/>
      <c r="F61" s="383"/>
      <c r="G61" s="103"/>
      <c r="H61" s="100"/>
    </row>
    <row r="62" spans="2:8" ht="22.5" customHeight="1">
      <c r="B62" s="424"/>
      <c r="C62" s="98" t="s">
        <v>88</v>
      </c>
      <c r="D62" s="382">
        <v>0.6</v>
      </c>
      <c r="E62" s="382"/>
      <c r="F62" s="383"/>
      <c r="G62" s="103"/>
      <c r="H62" s="100"/>
    </row>
    <row r="63" spans="2:8" ht="22.5" customHeight="1" thickBot="1">
      <c r="B63" s="425"/>
      <c r="C63" s="109" t="s">
        <v>89</v>
      </c>
      <c r="D63" s="378">
        <f>D57*70+D58*75+D59*25+D60*45+D62*120+D61*60</f>
        <v>337.5</v>
      </c>
      <c r="E63" s="378"/>
      <c r="F63" s="379"/>
      <c r="G63" s="114"/>
      <c r="H63" s="111"/>
    </row>
  </sheetData>
  <sheetProtection selectLockedCells="1" selectUnlockedCells="1"/>
  <mergeCells count="98">
    <mergeCell ref="D62:F62"/>
    <mergeCell ref="D63:F63"/>
    <mergeCell ref="B38:B47"/>
    <mergeCell ref="B48:F48"/>
    <mergeCell ref="B49:B56"/>
    <mergeCell ref="B57:B63"/>
    <mergeCell ref="D57:F57"/>
    <mergeCell ref="G57:H57"/>
    <mergeCell ref="D58:F58"/>
    <mergeCell ref="D59:F59"/>
    <mergeCell ref="D60:F60"/>
    <mergeCell ref="D61:F61"/>
    <mergeCell ref="AC17:AC24"/>
    <mergeCell ref="AC25:AC31"/>
    <mergeCell ref="J27:L27"/>
    <mergeCell ref="Q27:S27"/>
    <mergeCell ref="X27:Z27"/>
    <mergeCell ref="A6:A15"/>
    <mergeCell ref="AC5:AG5"/>
    <mergeCell ref="AC6:AC15"/>
    <mergeCell ref="V6:V15"/>
    <mergeCell ref="A5:E5"/>
    <mergeCell ref="A2:A4"/>
    <mergeCell ref="B4:E4"/>
    <mergeCell ref="B2:E2"/>
    <mergeCell ref="V5:Z5"/>
    <mergeCell ref="O2:O4"/>
    <mergeCell ref="A17:A24"/>
    <mergeCell ref="H17:H24"/>
    <mergeCell ref="O17:O24"/>
    <mergeCell ref="V17:V24"/>
    <mergeCell ref="V16:Z16"/>
    <mergeCell ref="O16:S16"/>
    <mergeCell ref="A16:E16"/>
    <mergeCell ref="H16:L16"/>
    <mergeCell ref="AC16:AG16"/>
    <mergeCell ref="H5:L5"/>
    <mergeCell ref="O5:S5"/>
    <mergeCell ref="AC2:AC4"/>
    <mergeCell ref="H6:H15"/>
    <mergeCell ref="V2:V4"/>
    <mergeCell ref="W2:Z2"/>
    <mergeCell ref="O6:O15"/>
    <mergeCell ref="AD2:AG2"/>
    <mergeCell ref="AD4:AG4"/>
    <mergeCell ref="H2:H4"/>
    <mergeCell ref="I2:L2"/>
    <mergeCell ref="P4:S4"/>
    <mergeCell ref="W4:Z4"/>
    <mergeCell ref="P2:S2"/>
    <mergeCell ref="I4:L4"/>
    <mergeCell ref="AH25:AI25"/>
    <mergeCell ref="AE25:AG25"/>
    <mergeCell ref="AE29:AG29"/>
    <mergeCell ref="AA25:AB25"/>
    <mergeCell ref="AE30:AG30"/>
    <mergeCell ref="A25:A31"/>
    <mergeCell ref="C25:E25"/>
    <mergeCell ref="F25:G25"/>
    <mergeCell ref="H25:H31"/>
    <mergeCell ref="J25:L25"/>
    <mergeCell ref="X25:Z25"/>
    <mergeCell ref="C29:E29"/>
    <mergeCell ref="J29:L29"/>
    <mergeCell ref="AE31:AG31"/>
    <mergeCell ref="AE26:AG26"/>
    <mergeCell ref="X26:Z26"/>
    <mergeCell ref="AE27:AG27"/>
    <mergeCell ref="AE28:AG28"/>
    <mergeCell ref="X28:Z28"/>
    <mergeCell ref="X29:Z29"/>
    <mergeCell ref="X31:Z31"/>
    <mergeCell ref="Q31:S31"/>
    <mergeCell ref="C27:E27"/>
    <mergeCell ref="C28:E28"/>
    <mergeCell ref="J28:L28"/>
    <mergeCell ref="Q28:S28"/>
    <mergeCell ref="O25:O31"/>
    <mergeCell ref="Q25:S25"/>
    <mergeCell ref="Q29:S29"/>
    <mergeCell ref="V25:V31"/>
    <mergeCell ref="C26:E26"/>
    <mergeCell ref="J26:L26"/>
    <mergeCell ref="Q26:S26"/>
    <mergeCell ref="C31:E31"/>
    <mergeCell ref="J31:L31"/>
    <mergeCell ref="T25:U25"/>
    <mergeCell ref="M25:N25"/>
    <mergeCell ref="P1:AD1"/>
    <mergeCell ref="A1:N1"/>
    <mergeCell ref="AM5:AM15"/>
    <mergeCell ref="AM16:AM23"/>
    <mergeCell ref="A33:AH33"/>
    <mergeCell ref="A34:AH34"/>
    <mergeCell ref="C30:E30"/>
    <mergeCell ref="J30:L30"/>
    <mergeCell ref="Q30:S30"/>
    <mergeCell ref="X30:Z30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S34"/>
  <sheetViews>
    <sheetView zoomScalePageLayoutView="0" workbookViewId="0" topLeftCell="A1">
      <selection activeCell="AB21" sqref="AB21"/>
    </sheetView>
  </sheetViews>
  <sheetFormatPr defaultColWidth="6.125" defaultRowHeight="16.5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8.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9.12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6.125" style="69" customWidth="1"/>
    <col min="36" max="36" width="7.50390625" style="72" bestFit="1" customWidth="1"/>
    <col min="37" max="16384" width="6.125" style="72" customWidth="1"/>
  </cols>
  <sheetData>
    <row r="1" spans="1:35" s="91" customFormat="1" ht="30" customHeight="1">
      <c r="A1" s="539" t="str">
        <f>'第三周 '!A1</f>
        <v>僑愛國民小學112學年度上學期第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211">
        <f>'第三周 '!O1+1</f>
        <v>13</v>
      </c>
      <c r="P1" s="377" t="s">
        <v>271</v>
      </c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90">
        <v>74</v>
      </c>
      <c r="AF1" s="90">
        <v>74</v>
      </c>
      <c r="AG1" s="90"/>
      <c r="AH1" s="90"/>
      <c r="AI1" s="90"/>
    </row>
    <row r="2" spans="1:35" s="40" customFormat="1" ht="18.75" customHeight="1">
      <c r="A2" s="507" t="s">
        <v>24</v>
      </c>
      <c r="B2" s="525">
        <f>'第三周 '!B2:E2+7</f>
        <v>45250</v>
      </c>
      <c r="C2" s="525"/>
      <c r="D2" s="525"/>
      <c r="E2" s="525"/>
      <c r="F2" s="125"/>
      <c r="G2" s="126"/>
      <c r="H2" s="504" t="s">
        <v>24</v>
      </c>
      <c r="I2" s="505">
        <f>B2+1</f>
        <v>45251</v>
      </c>
      <c r="J2" s="505"/>
      <c r="K2" s="505"/>
      <c r="L2" s="505"/>
      <c r="M2" s="127"/>
      <c r="N2" s="250"/>
      <c r="O2" s="538" t="s">
        <v>24</v>
      </c>
      <c r="P2" s="506">
        <f>I2+1</f>
        <v>45252</v>
      </c>
      <c r="Q2" s="506"/>
      <c r="R2" s="506"/>
      <c r="S2" s="506"/>
      <c r="T2" s="129"/>
      <c r="U2" s="251"/>
      <c r="V2" s="538" t="s">
        <v>24</v>
      </c>
      <c r="W2" s="510">
        <f>P2+1</f>
        <v>45253</v>
      </c>
      <c r="X2" s="510"/>
      <c r="Y2" s="510"/>
      <c r="Z2" s="510"/>
      <c r="AA2" s="131"/>
      <c r="AB2" s="132"/>
      <c r="AC2" s="538" t="s">
        <v>24</v>
      </c>
      <c r="AD2" s="512">
        <f>W2+1</f>
        <v>45254</v>
      </c>
      <c r="AE2" s="512"/>
      <c r="AF2" s="512"/>
      <c r="AG2" s="537"/>
      <c r="AH2" s="133"/>
      <c r="AI2" s="201"/>
    </row>
    <row r="3" spans="1:35" s="40" customFormat="1" ht="18.75" customHeight="1">
      <c r="A3" s="508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472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477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477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477"/>
      <c r="AD3" s="41" t="s">
        <v>25</v>
      </c>
      <c r="AE3" s="41" t="s">
        <v>26</v>
      </c>
      <c r="AF3" s="42" t="s">
        <v>27</v>
      </c>
      <c r="AG3" s="175" t="s">
        <v>28</v>
      </c>
      <c r="AH3" s="208" t="s">
        <v>29</v>
      </c>
      <c r="AI3" s="202" t="s">
        <v>30</v>
      </c>
    </row>
    <row r="4" spans="1:35" s="49" customFormat="1" ht="18.75" customHeight="1" hidden="1">
      <c r="A4" s="508"/>
      <c r="B4" s="474" t="s">
        <v>31</v>
      </c>
      <c r="C4" s="474"/>
      <c r="D4" s="474"/>
      <c r="E4" s="474"/>
      <c r="F4" s="45"/>
      <c r="G4" s="46"/>
      <c r="H4" s="472"/>
      <c r="I4" s="474" t="s">
        <v>32</v>
      </c>
      <c r="J4" s="474"/>
      <c r="K4" s="474"/>
      <c r="L4" s="474"/>
      <c r="M4" s="45"/>
      <c r="N4" s="47"/>
      <c r="O4" s="477"/>
      <c r="P4" s="474" t="s">
        <v>33</v>
      </c>
      <c r="Q4" s="474"/>
      <c r="R4" s="474"/>
      <c r="S4" s="474"/>
      <c r="T4" s="43"/>
      <c r="U4" s="48"/>
      <c r="V4" s="477"/>
      <c r="W4" s="474" t="s">
        <v>34</v>
      </c>
      <c r="X4" s="474"/>
      <c r="Y4" s="474"/>
      <c r="Z4" s="474"/>
      <c r="AA4" s="45"/>
      <c r="AB4" s="47"/>
      <c r="AC4" s="477"/>
      <c r="AD4" s="494" t="s">
        <v>35</v>
      </c>
      <c r="AE4" s="494"/>
      <c r="AF4" s="494"/>
      <c r="AG4" s="495"/>
      <c r="AH4" s="45"/>
      <c r="AI4" s="181"/>
    </row>
    <row r="5" spans="1:35" s="49" customFormat="1" ht="18.75" customHeight="1">
      <c r="A5" s="536" t="s">
        <v>36</v>
      </c>
      <c r="B5" s="394"/>
      <c r="C5" s="394"/>
      <c r="D5" s="394"/>
      <c r="E5" s="394"/>
      <c r="F5" s="348"/>
      <c r="G5" s="87"/>
      <c r="H5" s="396" t="s">
        <v>36</v>
      </c>
      <c r="I5" s="394"/>
      <c r="J5" s="394"/>
      <c r="K5" s="394"/>
      <c r="L5" s="394"/>
      <c r="M5" s="348"/>
      <c r="N5" s="88"/>
      <c r="O5" s="387" t="s">
        <v>36</v>
      </c>
      <c r="P5" s="394"/>
      <c r="Q5" s="394"/>
      <c r="R5" s="394"/>
      <c r="S5" s="394"/>
      <c r="T5" s="348"/>
      <c r="U5" s="88"/>
      <c r="V5" s="387" t="s">
        <v>36</v>
      </c>
      <c r="W5" s="394"/>
      <c r="X5" s="394"/>
      <c r="Y5" s="394"/>
      <c r="Z5" s="394"/>
      <c r="AA5" s="348"/>
      <c r="AB5" s="88"/>
      <c r="AC5" s="387" t="s">
        <v>36</v>
      </c>
      <c r="AD5" s="394"/>
      <c r="AE5" s="394"/>
      <c r="AF5" s="394"/>
      <c r="AG5" s="395"/>
      <c r="AH5" s="351"/>
      <c r="AI5" s="181"/>
    </row>
    <row r="6" spans="1:35" s="49" customFormat="1" ht="18.75" customHeight="1">
      <c r="A6" s="463" t="s">
        <v>191</v>
      </c>
      <c r="B6" s="23" t="s">
        <v>207</v>
      </c>
      <c r="C6" s="24">
        <v>1</v>
      </c>
      <c r="D6" s="74">
        <f>ROUND($AE$1*C6,1)</f>
        <v>74</v>
      </c>
      <c r="E6" s="159" t="s">
        <v>15</v>
      </c>
      <c r="F6" s="372">
        <v>9</v>
      </c>
      <c r="G6" s="51">
        <f>D6*F6</f>
        <v>666</v>
      </c>
      <c r="H6" s="463" t="s">
        <v>297</v>
      </c>
      <c r="I6" s="55" t="s">
        <v>12</v>
      </c>
      <c r="J6" s="281">
        <v>70</v>
      </c>
      <c r="K6" s="282">
        <f>ROUND($AE$1*J6/1000,0)</f>
        <v>5</v>
      </c>
      <c r="L6" s="285" t="s">
        <v>0</v>
      </c>
      <c r="M6" s="372">
        <v>38</v>
      </c>
      <c r="N6" s="51">
        <f>K6*M6</f>
        <v>190</v>
      </c>
      <c r="O6" s="468" t="s">
        <v>107</v>
      </c>
      <c r="P6" s="59" t="s">
        <v>23</v>
      </c>
      <c r="Q6" s="23">
        <v>10</v>
      </c>
      <c r="R6" s="74">
        <f>ROUND($AE$1*Q6/1000,1)</f>
        <v>0.7</v>
      </c>
      <c r="S6" s="74" t="s">
        <v>0</v>
      </c>
      <c r="T6" s="372">
        <v>49</v>
      </c>
      <c r="U6" s="60">
        <f>R6*T6</f>
        <v>34.3</v>
      </c>
      <c r="V6" s="463" t="s">
        <v>295</v>
      </c>
      <c r="W6" s="55" t="s">
        <v>296</v>
      </c>
      <c r="X6" s="55">
        <v>50</v>
      </c>
      <c r="Y6" s="92">
        <f>ROUND($AE$1*X6/500,0)</f>
        <v>7</v>
      </c>
      <c r="Z6" s="120" t="s">
        <v>20</v>
      </c>
      <c r="AA6" s="372">
        <v>125</v>
      </c>
      <c r="AB6" s="60">
        <f>Y6*AA6</f>
        <v>875</v>
      </c>
      <c r="AC6" s="463" t="s">
        <v>269</v>
      </c>
      <c r="AD6" s="23" t="s">
        <v>270</v>
      </c>
      <c r="AE6" s="249">
        <v>75</v>
      </c>
      <c r="AF6" s="74">
        <f>ROUND($AE$1*AE6/1000,0)</f>
        <v>6</v>
      </c>
      <c r="AG6" s="73" t="s">
        <v>20</v>
      </c>
      <c r="AH6" s="370">
        <v>7</v>
      </c>
      <c r="AI6" s="175">
        <f aca="true" t="shared" si="0" ref="AI6:AI24">AF6*AH6</f>
        <v>42</v>
      </c>
    </row>
    <row r="7" spans="1:35" s="49" customFormat="1" ht="18.75" customHeight="1">
      <c r="A7" s="464"/>
      <c r="B7" s="23"/>
      <c r="C7" s="24"/>
      <c r="D7" s="26"/>
      <c r="E7" s="26"/>
      <c r="F7" s="368"/>
      <c r="G7" s="51"/>
      <c r="H7" s="464"/>
      <c r="I7" s="281" t="s">
        <v>298</v>
      </c>
      <c r="J7" s="281">
        <v>10</v>
      </c>
      <c r="K7" s="282" t="s">
        <v>21</v>
      </c>
      <c r="L7" s="285" t="s">
        <v>0</v>
      </c>
      <c r="M7" s="368"/>
      <c r="N7" s="51"/>
      <c r="O7" s="469"/>
      <c r="P7" s="173" t="s">
        <v>16</v>
      </c>
      <c r="Q7" s="23">
        <v>12</v>
      </c>
      <c r="R7" s="74">
        <f>ROUND($AE$1*Q7/300,0)</f>
        <v>3</v>
      </c>
      <c r="S7" s="74" t="s">
        <v>19</v>
      </c>
      <c r="T7" s="368">
        <v>65</v>
      </c>
      <c r="U7" s="60">
        <f aca="true" t="shared" si="1" ref="U7:U24">R7*T7</f>
        <v>195</v>
      </c>
      <c r="V7" s="464"/>
      <c r="W7" s="23" t="s">
        <v>155</v>
      </c>
      <c r="X7" s="52">
        <v>26.5</v>
      </c>
      <c r="Y7" s="74">
        <v>3</v>
      </c>
      <c r="Z7" s="74" t="s">
        <v>0</v>
      </c>
      <c r="AA7" s="368">
        <v>214</v>
      </c>
      <c r="AB7" s="60">
        <f aca="true" t="shared" si="2" ref="AB7:AB24">Y7*AA7</f>
        <v>642</v>
      </c>
      <c r="AC7" s="464"/>
      <c r="AD7" s="23" t="s">
        <v>200</v>
      </c>
      <c r="AE7" s="23">
        <v>10</v>
      </c>
      <c r="AF7" s="74">
        <f>ROUND($AE$1*AE7/650,0)</f>
        <v>1</v>
      </c>
      <c r="AG7" s="73" t="s">
        <v>22</v>
      </c>
      <c r="AH7" s="369">
        <v>75</v>
      </c>
      <c r="AI7" s="175">
        <f t="shared" si="0"/>
        <v>75</v>
      </c>
    </row>
    <row r="8" spans="1:35" s="49" customFormat="1" ht="18.75" customHeight="1">
      <c r="A8" s="464"/>
      <c r="B8" s="23"/>
      <c r="C8" s="24"/>
      <c r="D8" s="74"/>
      <c r="E8" s="159"/>
      <c r="F8" s="368"/>
      <c r="G8" s="51">
        <f>D8*F8</f>
        <v>0</v>
      </c>
      <c r="H8" s="464"/>
      <c r="I8" s="281" t="s">
        <v>92</v>
      </c>
      <c r="J8" s="281">
        <v>0.5</v>
      </c>
      <c r="K8" s="282" t="s">
        <v>21</v>
      </c>
      <c r="L8" s="285" t="s">
        <v>0</v>
      </c>
      <c r="M8" s="368"/>
      <c r="N8" s="51"/>
      <c r="O8" s="469"/>
      <c r="P8" s="204" t="s">
        <v>200</v>
      </c>
      <c r="Q8" s="204">
        <v>18</v>
      </c>
      <c r="R8" s="74">
        <f>ROUND($AE$1*Q8/650,1)</f>
        <v>2</v>
      </c>
      <c r="S8" s="205" t="s">
        <v>22</v>
      </c>
      <c r="T8" s="368">
        <v>75</v>
      </c>
      <c r="U8" s="60">
        <f t="shared" si="1"/>
        <v>150</v>
      </c>
      <c r="V8" s="464"/>
      <c r="W8" s="52" t="s">
        <v>92</v>
      </c>
      <c r="X8" s="52">
        <v>1</v>
      </c>
      <c r="Y8" s="74" t="s">
        <v>21</v>
      </c>
      <c r="Z8" s="74" t="s">
        <v>0</v>
      </c>
      <c r="AA8" s="368"/>
      <c r="AB8" s="60"/>
      <c r="AC8" s="464"/>
      <c r="AD8" s="23" t="s">
        <v>1</v>
      </c>
      <c r="AE8" s="23">
        <v>21</v>
      </c>
      <c r="AF8" s="74">
        <f>ROUND($AE$1*AE8/1000,1)</f>
        <v>1.6</v>
      </c>
      <c r="AG8" s="73" t="s">
        <v>0</v>
      </c>
      <c r="AH8" s="369">
        <v>105</v>
      </c>
      <c r="AI8" s="175">
        <f t="shared" si="0"/>
        <v>168</v>
      </c>
    </row>
    <row r="9" spans="1:35" s="49" customFormat="1" ht="18.75" customHeight="1">
      <c r="A9" s="464"/>
      <c r="B9" s="23" t="s">
        <v>209</v>
      </c>
      <c r="C9" s="23">
        <v>20</v>
      </c>
      <c r="D9" s="74">
        <f>ROUND($AE$1*C9/1000,1)</f>
        <v>1.5</v>
      </c>
      <c r="E9" s="74" t="s">
        <v>0</v>
      </c>
      <c r="F9" s="372">
        <v>230</v>
      </c>
      <c r="G9" s="51">
        <f aca="true" t="shared" si="3" ref="G9:G15">D9*F9</f>
        <v>345</v>
      </c>
      <c r="H9" s="464"/>
      <c r="I9" s="281" t="s">
        <v>63</v>
      </c>
      <c r="J9" s="281">
        <v>8</v>
      </c>
      <c r="K9" s="282">
        <f>ROUND($AE$1*J9/1000,1)</f>
        <v>0.6</v>
      </c>
      <c r="L9" s="285" t="s">
        <v>0</v>
      </c>
      <c r="M9" s="372">
        <v>84</v>
      </c>
      <c r="N9" s="51">
        <f aca="true" t="shared" si="4" ref="N7:N15">K9*M9</f>
        <v>50.4</v>
      </c>
      <c r="O9" s="469"/>
      <c r="P9" s="23" t="s">
        <v>170</v>
      </c>
      <c r="Q9" s="23">
        <v>15</v>
      </c>
      <c r="R9" s="74" t="s">
        <v>21</v>
      </c>
      <c r="S9" s="74" t="s">
        <v>0</v>
      </c>
      <c r="T9" s="372"/>
      <c r="U9" s="60"/>
      <c r="V9" s="464"/>
      <c r="W9" s="59" t="s">
        <v>23</v>
      </c>
      <c r="X9" s="52">
        <v>17</v>
      </c>
      <c r="Y9" s="74">
        <f>ROUND($AE$1*X9/1000,1)</f>
        <v>1.3</v>
      </c>
      <c r="Z9" s="74" t="s">
        <v>0</v>
      </c>
      <c r="AA9" s="372">
        <v>49</v>
      </c>
      <c r="AB9" s="60">
        <f t="shared" si="2"/>
        <v>63.7</v>
      </c>
      <c r="AC9" s="464"/>
      <c r="AD9" s="23" t="s">
        <v>63</v>
      </c>
      <c r="AE9" s="23">
        <v>6</v>
      </c>
      <c r="AF9" s="74">
        <f>ROUND($AE$1*AE9/1000,1)</f>
        <v>0.4</v>
      </c>
      <c r="AG9" s="73" t="s">
        <v>0</v>
      </c>
      <c r="AH9" s="370">
        <v>84</v>
      </c>
      <c r="AI9" s="175">
        <f t="shared" si="0"/>
        <v>33.6</v>
      </c>
    </row>
    <row r="10" spans="1:35" s="49" customFormat="1" ht="18.75" customHeight="1">
      <c r="A10" s="464"/>
      <c r="B10" s="23" t="s">
        <v>57</v>
      </c>
      <c r="C10" s="24">
        <v>1</v>
      </c>
      <c r="D10" s="74">
        <f>ROUND($AE$1*C10/1000,1)</f>
        <v>0.1</v>
      </c>
      <c r="E10" s="74" t="s">
        <v>0</v>
      </c>
      <c r="F10" s="372">
        <v>250</v>
      </c>
      <c r="G10" s="51">
        <f t="shared" si="3"/>
        <v>25</v>
      </c>
      <c r="H10" s="464"/>
      <c r="I10" s="55" t="s">
        <v>246</v>
      </c>
      <c r="J10" s="55">
        <v>6</v>
      </c>
      <c r="K10" s="282">
        <f>ROUND($AE$1*J10/1000,1)</f>
        <v>0.4</v>
      </c>
      <c r="L10" s="93" t="s">
        <v>0</v>
      </c>
      <c r="M10" s="372">
        <v>135</v>
      </c>
      <c r="N10" s="51">
        <f t="shared" si="4"/>
        <v>54</v>
      </c>
      <c r="O10" s="469"/>
      <c r="P10" s="23" t="s">
        <v>93</v>
      </c>
      <c r="Q10" s="23">
        <v>1.5</v>
      </c>
      <c r="R10" s="74" t="s">
        <v>21</v>
      </c>
      <c r="S10" s="74" t="s">
        <v>0</v>
      </c>
      <c r="T10" s="372"/>
      <c r="U10" s="60"/>
      <c r="V10" s="464"/>
      <c r="W10" s="52" t="s">
        <v>1</v>
      </c>
      <c r="X10" s="52">
        <v>34</v>
      </c>
      <c r="Y10" s="74">
        <f>ROUND($AE$1*X10/1000,1)</f>
        <v>2.5</v>
      </c>
      <c r="Z10" s="74" t="s">
        <v>0</v>
      </c>
      <c r="AA10" s="372">
        <v>101</v>
      </c>
      <c r="AB10" s="60">
        <f t="shared" si="2"/>
        <v>252.5</v>
      </c>
      <c r="AC10" s="464"/>
      <c r="AD10" s="23"/>
      <c r="AE10" s="23"/>
      <c r="AF10" s="74"/>
      <c r="AG10" s="73"/>
      <c r="AH10" s="371"/>
      <c r="AI10" s="175">
        <f t="shared" si="0"/>
        <v>0</v>
      </c>
    </row>
    <row r="11" spans="1:35" s="49" customFormat="1" ht="18.75" customHeight="1">
      <c r="A11" s="464"/>
      <c r="B11" s="59" t="s">
        <v>23</v>
      </c>
      <c r="C11" s="23">
        <v>14</v>
      </c>
      <c r="D11" s="74">
        <f>ROUND($AE$1*C11/1000,1)</f>
        <v>1</v>
      </c>
      <c r="E11" s="74" t="s">
        <v>0</v>
      </c>
      <c r="F11" s="372">
        <v>49</v>
      </c>
      <c r="G11" s="51">
        <f t="shared" si="3"/>
        <v>49</v>
      </c>
      <c r="H11" s="464"/>
      <c r="I11" s="281" t="s">
        <v>1</v>
      </c>
      <c r="J11" s="281">
        <v>16</v>
      </c>
      <c r="K11" s="282">
        <f>ROUND($AE$1*J11/1000,1)</f>
        <v>1.2</v>
      </c>
      <c r="L11" s="285" t="s">
        <v>0</v>
      </c>
      <c r="M11" s="372">
        <v>101</v>
      </c>
      <c r="N11" s="51">
        <f t="shared" si="4"/>
        <v>121.19999999999999</v>
      </c>
      <c r="O11" s="469"/>
      <c r="P11" s="58" t="s">
        <v>63</v>
      </c>
      <c r="Q11" s="23">
        <v>12</v>
      </c>
      <c r="R11" s="74">
        <f>ROUND($AE$1*Q11/1000,1)</f>
        <v>0.9</v>
      </c>
      <c r="S11" s="74" t="s">
        <v>0</v>
      </c>
      <c r="T11" s="372">
        <v>84</v>
      </c>
      <c r="U11" s="60">
        <f t="shared" si="1"/>
        <v>75.60000000000001</v>
      </c>
      <c r="V11" s="464"/>
      <c r="W11" s="52" t="s">
        <v>108</v>
      </c>
      <c r="X11" s="52">
        <v>3</v>
      </c>
      <c r="Y11" s="74" t="s">
        <v>21</v>
      </c>
      <c r="Z11" s="74" t="s">
        <v>0</v>
      </c>
      <c r="AA11" s="372"/>
      <c r="AB11" s="60"/>
      <c r="AC11" s="464"/>
      <c r="AD11" s="23"/>
      <c r="AE11" s="23"/>
      <c r="AF11" s="74"/>
      <c r="AG11" s="73"/>
      <c r="AH11" s="371"/>
      <c r="AI11" s="175">
        <f t="shared" si="0"/>
        <v>0</v>
      </c>
    </row>
    <row r="12" spans="1:35" s="40" customFormat="1" ht="18.75" customHeight="1">
      <c r="A12" s="464"/>
      <c r="B12" s="28"/>
      <c r="C12" s="29"/>
      <c r="D12" s="74"/>
      <c r="E12" s="74"/>
      <c r="F12" s="368"/>
      <c r="G12" s="51"/>
      <c r="H12" s="464"/>
      <c r="I12" s="281" t="s">
        <v>92</v>
      </c>
      <c r="J12" s="281">
        <v>0.5</v>
      </c>
      <c r="K12" s="282" t="s">
        <v>21</v>
      </c>
      <c r="L12" s="285" t="s">
        <v>0</v>
      </c>
      <c r="M12" s="350"/>
      <c r="N12" s="51"/>
      <c r="O12" s="469"/>
      <c r="P12" s="58" t="s">
        <v>188</v>
      </c>
      <c r="Q12" s="23">
        <v>20</v>
      </c>
      <c r="R12" s="74">
        <f>ROUND($AE$1*Q12/1000,1)</f>
        <v>1.5</v>
      </c>
      <c r="S12" s="73" t="s">
        <v>0</v>
      </c>
      <c r="T12" s="369">
        <v>56</v>
      </c>
      <c r="U12" s="175">
        <f t="shared" si="1"/>
        <v>84</v>
      </c>
      <c r="V12" s="464"/>
      <c r="W12" s="23" t="s">
        <v>57</v>
      </c>
      <c r="X12" s="23">
        <v>3</v>
      </c>
      <c r="Y12" s="74">
        <f>ROUND($AE$1*X12/1000,1)</f>
        <v>0.2</v>
      </c>
      <c r="Z12" s="73" t="s">
        <v>0</v>
      </c>
      <c r="AA12" s="50">
        <v>250</v>
      </c>
      <c r="AB12" s="175">
        <f t="shared" si="2"/>
        <v>50</v>
      </c>
      <c r="AC12" s="464"/>
      <c r="AD12" s="23"/>
      <c r="AE12" s="23"/>
      <c r="AF12" s="74"/>
      <c r="AG12" s="73"/>
      <c r="AH12" s="50"/>
      <c r="AI12" s="175"/>
    </row>
    <row r="13" spans="1:35" s="49" customFormat="1" ht="18.75" customHeight="1">
      <c r="A13" s="464"/>
      <c r="B13" s="30"/>
      <c r="C13" s="30"/>
      <c r="D13" s="26"/>
      <c r="E13" s="26"/>
      <c r="F13" s="350"/>
      <c r="G13" s="51">
        <f t="shared" si="3"/>
        <v>0</v>
      </c>
      <c r="H13" s="464"/>
      <c r="I13" s="284" t="s">
        <v>38</v>
      </c>
      <c r="J13" s="284">
        <v>5</v>
      </c>
      <c r="K13" s="282">
        <f>ROUND($AE$1*J13/1000,1)</f>
        <v>0.4</v>
      </c>
      <c r="L13" s="285" t="s">
        <v>0</v>
      </c>
      <c r="M13" s="350">
        <v>103</v>
      </c>
      <c r="N13" s="51">
        <f t="shared" si="4"/>
        <v>41.2</v>
      </c>
      <c r="O13" s="469"/>
      <c r="P13" s="58"/>
      <c r="Q13" s="58"/>
      <c r="R13" s="74"/>
      <c r="S13" s="73"/>
      <c r="T13" s="50"/>
      <c r="U13" s="175">
        <f t="shared" si="1"/>
        <v>0</v>
      </c>
      <c r="V13" s="464"/>
      <c r="W13" s="52"/>
      <c r="X13" s="52"/>
      <c r="Y13" s="74"/>
      <c r="Z13" s="73"/>
      <c r="AA13" s="50"/>
      <c r="AB13" s="175">
        <f t="shared" si="2"/>
        <v>0</v>
      </c>
      <c r="AC13" s="464"/>
      <c r="AD13" s="23"/>
      <c r="AE13" s="23"/>
      <c r="AF13" s="74"/>
      <c r="AG13" s="73"/>
      <c r="AH13" s="50"/>
      <c r="AI13" s="175">
        <f t="shared" si="0"/>
        <v>0</v>
      </c>
    </row>
    <row r="14" spans="1:35" s="49" customFormat="1" ht="18.75" customHeight="1">
      <c r="A14" s="464"/>
      <c r="B14" s="30"/>
      <c r="C14" s="30"/>
      <c r="D14" s="26"/>
      <c r="E14" s="26"/>
      <c r="F14" s="350"/>
      <c r="G14" s="51">
        <f t="shared" si="3"/>
        <v>0</v>
      </c>
      <c r="H14" s="464"/>
      <c r="I14" s="284"/>
      <c r="J14" s="284"/>
      <c r="K14" s="282"/>
      <c r="L14" s="285"/>
      <c r="M14" s="350"/>
      <c r="N14" s="51">
        <f t="shared" si="4"/>
        <v>0</v>
      </c>
      <c r="O14" s="469"/>
      <c r="P14" s="58"/>
      <c r="Q14" s="58"/>
      <c r="R14" s="74"/>
      <c r="S14" s="73"/>
      <c r="T14" s="50"/>
      <c r="U14" s="175">
        <f t="shared" si="1"/>
        <v>0</v>
      </c>
      <c r="V14" s="464"/>
      <c r="W14" s="52"/>
      <c r="X14" s="52"/>
      <c r="Y14" s="241"/>
      <c r="Z14" s="73"/>
      <c r="AA14" s="50"/>
      <c r="AB14" s="175">
        <f t="shared" si="2"/>
        <v>0</v>
      </c>
      <c r="AC14" s="464"/>
      <c r="AD14" s="79"/>
      <c r="AE14" s="52"/>
      <c r="AF14" s="74"/>
      <c r="AG14" s="73"/>
      <c r="AH14" s="50"/>
      <c r="AI14" s="175">
        <f t="shared" si="0"/>
        <v>0</v>
      </c>
    </row>
    <row r="15" spans="1:35" s="49" customFormat="1" ht="18.75" customHeight="1">
      <c r="A15" s="464"/>
      <c r="B15" s="30"/>
      <c r="C15" s="30"/>
      <c r="D15" s="26"/>
      <c r="E15" s="26"/>
      <c r="F15" s="350"/>
      <c r="G15" s="51">
        <f t="shared" si="3"/>
        <v>0</v>
      </c>
      <c r="H15" s="464"/>
      <c r="I15" s="284" t="s">
        <v>299</v>
      </c>
      <c r="J15" s="284"/>
      <c r="K15" s="282"/>
      <c r="L15" s="285"/>
      <c r="M15" s="350"/>
      <c r="N15" s="51">
        <f t="shared" si="4"/>
        <v>0</v>
      </c>
      <c r="O15" s="469"/>
      <c r="P15" s="23"/>
      <c r="Q15" s="23"/>
      <c r="R15" s="74"/>
      <c r="S15" s="73"/>
      <c r="T15" s="50"/>
      <c r="U15" s="175">
        <f t="shared" si="1"/>
        <v>0</v>
      </c>
      <c r="V15" s="464"/>
      <c r="W15" s="52"/>
      <c r="X15" s="52"/>
      <c r="Y15" s="74"/>
      <c r="Z15" s="73"/>
      <c r="AA15" s="50"/>
      <c r="AB15" s="175">
        <f t="shared" si="2"/>
        <v>0</v>
      </c>
      <c r="AC15" s="464"/>
      <c r="AD15" s="61"/>
      <c r="AE15" s="61"/>
      <c r="AF15" s="74"/>
      <c r="AG15" s="25"/>
      <c r="AH15" s="50"/>
      <c r="AI15" s="175">
        <f t="shared" si="0"/>
        <v>0</v>
      </c>
    </row>
    <row r="16" spans="1:35" s="49" customFormat="1" ht="18.75" customHeight="1">
      <c r="A16" s="398" t="s">
        <v>39</v>
      </c>
      <c r="B16" s="398"/>
      <c r="C16" s="398"/>
      <c r="D16" s="398"/>
      <c r="E16" s="398"/>
      <c r="F16" s="349"/>
      <c r="G16" s="87"/>
      <c r="H16" s="398" t="s">
        <v>39</v>
      </c>
      <c r="I16" s="398"/>
      <c r="J16" s="398"/>
      <c r="K16" s="398"/>
      <c r="L16" s="398"/>
      <c r="M16" s="349"/>
      <c r="N16" s="88"/>
      <c r="O16" s="398" t="s">
        <v>39</v>
      </c>
      <c r="P16" s="398"/>
      <c r="Q16" s="398"/>
      <c r="R16" s="398"/>
      <c r="S16" s="398"/>
      <c r="T16" s="86"/>
      <c r="U16" s="88"/>
      <c r="V16" s="398" t="s">
        <v>39</v>
      </c>
      <c r="W16" s="398"/>
      <c r="X16" s="398"/>
      <c r="Y16" s="398"/>
      <c r="Z16" s="398"/>
      <c r="AA16" s="86"/>
      <c r="AB16" s="88"/>
      <c r="AC16" s="398" t="s">
        <v>39</v>
      </c>
      <c r="AD16" s="398"/>
      <c r="AE16" s="398"/>
      <c r="AF16" s="398"/>
      <c r="AG16" s="398"/>
      <c r="AH16" s="86"/>
      <c r="AI16" s="203"/>
    </row>
    <row r="17" spans="1:35" s="49" customFormat="1" ht="18.75" customHeight="1">
      <c r="A17" s="463" t="s">
        <v>42</v>
      </c>
      <c r="B17" s="29" t="s">
        <v>59</v>
      </c>
      <c r="C17" s="57">
        <v>41</v>
      </c>
      <c r="D17" s="74">
        <f>ROUND($AE$1*C17/1000,1)</f>
        <v>3</v>
      </c>
      <c r="E17" s="94" t="s">
        <v>0</v>
      </c>
      <c r="F17" s="50">
        <v>175</v>
      </c>
      <c r="G17" s="51">
        <f aca="true" t="shared" si="5" ref="G17:G24">D17*F17</f>
        <v>525</v>
      </c>
      <c r="H17" s="485" t="s">
        <v>40</v>
      </c>
      <c r="I17" s="29" t="s">
        <v>41</v>
      </c>
      <c r="J17" s="29">
        <v>3.5</v>
      </c>
      <c r="K17" s="74" t="s">
        <v>21</v>
      </c>
      <c r="L17" s="73" t="s">
        <v>0</v>
      </c>
      <c r="M17" s="50"/>
      <c r="N17" s="51"/>
      <c r="O17" s="463" t="s">
        <v>91</v>
      </c>
      <c r="P17" s="57" t="s">
        <v>172</v>
      </c>
      <c r="Q17" s="57">
        <v>41</v>
      </c>
      <c r="R17" s="158">
        <f>ROUND($AE$1*Q17/1000,1)</f>
        <v>3</v>
      </c>
      <c r="S17" s="73" t="s">
        <v>0</v>
      </c>
      <c r="T17" s="50">
        <v>160</v>
      </c>
      <c r="U17" s="175">
        <f t="shared" si="1"/>
        <v>480</v>
      </c>
      <c r="V17" s="516" t="s">
        <v>156</v>
      </c>
      <c r="W17" s="239" t="s">
        <v>240</v>
      </c>
      <c r="X17" s="51">
        <v>133</v>
      </c>
      <c r="Y17" s="232" t="s">
        <v>21</v>
      </c>
      <c r="Z17" s="60" t="s">
        <v>48</v>
      </c>
      <c r="AA17" s="50"/>
      <c r="AB17" s="175"/>
      <c r="AC17" s="516" t="s">
        <v>189</v>
      </c>
      <c r="AD17" s="59" t="s">
        <v>60</v>
      </c>
      <c r="AE17" s="59">
        <v>5.5</v>
      </c>
      <c r="AF17" s="59">
        <f>ROUND($AE$1*AE17/300,0)</f>
        <v>1</v>
      </c>
      <c r="AG17" s="352" t="s">
        <v>19</v>
      </c>
      <c r="AH17" s="50">
        <v>65</v>
      </c>
      <c r="AI17" s="175">
        <f t="shared" si="0"/>
        <v>65</v>
      </c>
    </row>
    <row r="18" spans="1:35" s="49" customFormat="1" ht="18.75" customHeight="1">
      <c r="A18" s="464"/>
      <c r="B18" s="29" t="s">
        <v>187</v>
      </c>
      <c r="C18" s="57">
        <v>41</v>
      </c>
      <c r="D18" s="74">
        <f>ROUND($AE$1*C18/1000,1)</f>
        <v>3</v>
      </c>
      <c r="E18" s="73" t="s">
        <v>0</v>
      </c>
      <c r="F18" s="50">
        <v>60</v>
      </c>
      <c r="G18" s="51">
        <f t="shared" si="5"/>
        <v>180</v>
      </c>
      <c r="H18" s="486"/>
      <c r="I18" s="29" t="s">
        <v>44</v>
      </c>
      <c r="J18" s="29">
        <v>3.5</v>
      </c>
      <c r="K18" s="74" t="s">
        <v>21</v>
      </c>
      <c r="L18" s="73" t="s">
        <v>0</v>
      </c>
      <c r="M18" s="50"/>
      <c r="N18" s="51"/>
      <c r="O18" s="464"/>
      <c r="P18" s="57" t="s">
        <v>43</v>
      </c>
      <c r="Q18" s="57">
        <v>41</v>
      </c>
      <c r="R18" s="158">
        <f>ROUND($AE$1*Q18/1000,1)</f>
        <v>3</v>
      </c>
      <c r="S18" s="73" t="s">
        <v>0</v>
      </c>
      <c r="T18" s="50">
        <v>105</v>
      </c>
      <c r="U18" s="175">
        <f t="shared" si="1"/>
        <v>315</v>
      </c>
      <c r="V18" s="516"/>
      <c r="W18" s="23" t="s">
        <v>157</v>
      </c>
      <c r="X18" s="23">
        <v>15</v>
      </c>
      <c r="Y18" s="159" t="s">
        <v>21</v>
      </c>
      <c r="Z18" s="73" t="s">
        <v>61</v>
      </c>
      <c r="AA18" s="50"/>
      <c r="AB18" s="175"/>
      <c r="AC18" s="516"/>
      <c r="AD18" s="59" t="s">
        <v>104</v>
      </c>
      <c r="AE18" s="59">
        <v>17</v>
      </c>
      <c r="AF18" s="59">
        <f>ROUND($AE$1*AE18/1000,1)</f>
        <v>1.3</v>
      </c>
      <c r="AG18" s="353" t="s">
        <v>2</v>
      </c>
      <c r="AH18" s="50">
        <v>59</v>
      </c>
      <c r="AI18" s="175">
        <f t="shared" si="0"/>
        <v>76.7</v>
      </c>
    </row>
    <row r="19" spans="1:35" s="49" customFormat="1" ht="18.75" customHeight="1">
      <c r="A19" s="464"/>
      <c r="B19" s="28" t="s">
        <v>186</v>
      </c>
      <c r="C19" s="57">
        <v>41</v>
      </c>
      <c r="D19" s="74">
        <f>ROUND($AE$1*C19/1000,1)</f>
        <v>3</v>
      </c>
      <c r="E19" s="73" t="s">
        <v>0</v>
      </c>
      <c r="F19" s="50">
        <v>240</v>
      </c>
      <c r="G19" s="51">
        <f t="shared" si="5"/>
        <v>720</v>
      </c>
      <c r="H19" s="486"/>
      <c r="I19" s="29" t="s">
        <v>46</v>
      </c>
      <c r="J19" s="29">
        <v>7</v>
      </c>
      <c r="K19" s="74" t="s">
        <v>21</v>
      </c>
      <c r="L19" s="73" t="s">
        <v>0</v>
      </c>
      <c r="M19" s="50"/>
      <c r="N19" s="51"/>
      <c r="O19" s="464"/>
      <c r="P19" s="77" t="s">
        <v>17</v>
      </c>
      <c r="Q19" s="57">
        <v>41</v>
      </c>
      <c r="R19" s="158">
        <f>ROUND($AE$1*Q19/1000,1)</f>
        <v>3</v>
      </c>
      <c r="S19" s="73" t="s">
        <v>0</v>
      </c>
      <c r="T19" s="50">
        <v>300</v>
      </c>
      <c r="U19" s="175">
        <f t="shared" si="1"/>
        <v>900</v>
      </c>
      <c r="V19" s="516"/>
      <c r="W19" s="29" t="s">
        <v>201</v>
      </c>
      <c r="X19" s="29"/>
      <c r="Y19" s="159">
        <v>1</v>
      </c>
      <c r="Z19" s="73" t="s">
        <v>20</v>
      </c>
      <c r="AA19" s="50">
        <v>45</v>
      </c>
      <c r="AB19" s="175">
        <f t="shared" si="2"/>
        <v>45</v>
      </c>
      <c r="AC19" s="516"/>
      <c r="AD19" s="59" t="s">
        <v>23</v>
      </c>
      <c r="AE19" s="59">
        <v>10</v>
      </c>
      <c r="AF19" s="59">
        <f>ROUND($AE$1*AE19/1000,1)</f>
        <v>0.7</v>
      </c>
      <c r="AG19" s="353" t="s">
        <v>2</v>
      </c>
      <c r="AH19" s="50">
        <v>49</v>
      </c>
      <c r="AI19" s="175">
        <f t="shared" si="0"/>
        <v>34.3</v>
      </c>
    </row>
    <row r="20" spans="1:35" s="49" customFormat="1" ht="18.75" customHeight="1">
      <c r="A20" s="464"/>
      <c r="B20" s="23"/>
      <c r="C20" s="23"/>
      <c r="D20" s="92"/>
      <c r="E20" s="93"/>
      <c r="F20" s="50"/>
      <c r="G20" s="51">
        <f t="shared" si="5"/>
        <v>0</v>
      </c>
      <c r="H20" s="486"/>
      <c r="I20" s="29" t="s">
        <v>47</v>
      </c>
      <c r="J20" s="29">
        <v>3.5</v>
      </c>
      <c r="K20" s="74" t="s">
        <v>21</v>
      </c>
      <c r="L20" s="73" t="s">
        <v>0</v>
      </c>
      <c r="M20" s="50"/>
      <c r="N20" s="51"/>
      <c r="O20" s="464"/>
      <c r="P20" s="161"/>
      <c r="Q20" s="161"/>
      <c r="R20" s="74"/>
      <c r="S20" s="74"/>
      <c r="T20" s="50"/>
      <c r="U20" s="175">
        <f t="shared" si="1"/>
        <v>0</v>
      </c>
      <c r="V20" s="516"/>
      <c r="W20" s="29" t="s">
        <v>75</v>
      </c>
      <c r="X20" s="23">
        <v>0.5</v>
      </c>
      <c r="Y20" s="74">
        <f>ROUND($AE$1*X20,0)</f>
        <v>37</v>
      </c>
      <c r="Z20" s="73" t="s">
        <v>76</v>
      </c>
      <c r="AA20" s="50">
        <v>70</v>
      </c>
      <c r="AB20" s="175">
        <f>Y20*AA20*180/1000</f>
        <v>466.2</v>
      </c>
      <c r="AC20" s="516"/>
      <c r="AD20" s="59" t="s">
        <v>200</v>
      </c>
      <c r="AE20" s="59">
        <v>9</v>
      </c>
      <c r="AF20" s="74">
        <f>ROUND($AE$1*AE20/650,1)</f>
        <v>1</v>
      </c>
      <c r="AG20" s="353" t="s">
        <v>22</v>
      </c>
      <c r="AH20" s="50">
        <v>75</v>
      </c>
      <c r="AI20" s="175">
        <f t="shared" si="0"/>
        <v>75</v>
      </c>
    </row>
    <row r="21" spans="1:35" s="49" customFormat="1" ht="18.75" customHeight="1">
      <c r="A21" s="464"/>
      <c r="B21" s="59" t="s">
        <v>175</v>
      </c>
      <c r="C21" s="57">
        <v>120</v>
      </c>
      <c r="D21" s="74">
        <f>ROUND($AE$1*C21/1000,0)</f>
        <v>9</v>
      </c>
      <c r="E21" s="60" t="s">
        <v>48</v>
      </c>
      <c r="F21" s="372">
        <v>95</v>
      </c>
      <c r="G21" s="51">
        <f t="shared" si="5"/>
        <v>855</v>
      </c>
      <c r="H21" s="486"/>
      <c r="I21" s="29" t="s">
        <v>49</v>
      </c>
      <c r="J21" s="29">
        <v>3.5</v>
      </c>
      <c r="K21" s="74" t="s">
        <v>21</v>
      </c>
      <c r="L21" s="73" t="s">
        <v>0</v>
      </c>
      <c r="M21" s="367"/>
      <c r="N21" s="51"/>
      <c r="O21" s="464"/>
      <c r="P21" s="239" t="s">
        <v>240</v>
      </c>
      <c r="Q21" s="231">
        <v>120</v>
      </c>
      <c r="R21" s="232" t="s">
        <v>21</v>
      </c>
      <c r="S21" s="231" t="s">
        <v>48</v>
      </c>
      <c r="T21" s="367"/>
      <c r="U21" s="175"/>
      <c r="V21" s="516"/>
      <c r="W21" s="233" t="s">
        <v>251</v>
      </c>
      <c r="X21" s="61"/>
      <c r="Y21" s="74"/>
      <c r="Z21" s="25"/>
      <c r="AA21" s="367"/>
      <c r="AB21" s="175">
        <f t="shared" si="2"/>
        <v>0</v>
      </c>
      <c r="AC21" s="516"/>
      <c r="AD21" s="59" t="s">
        <v>105</v>
      </c>
      <c r="AE21" s="59">
        <v>10</v>
      </c>
      <c r="AF21" s="59">
        <f>ROUND($AE$1*AE21/300,0)</f>
        <v>2</v>
      </c>
      <c r="AG21" s="353" t="s">
        <v>19</v>
      </c>
      <c r="AH21" s="370">
        <v>70</v>
      </c>
      <c r="AI21" s="175">
        <f t="shared" si="0"/>
        <v>140</v>
      </c>
    </row>
    <row r="22" spans="1:35" s="49" customFormat="1" ht="18.75" customHeight="1">
      <c r="A22" s="464"/>
      <c r="B22" s="23"/>
      <c r="C22" s="23"/>
      <c r="D22" s="92"/>
      <c r="E22" s="93"/>
      <c r="F22" s="162"/>
      <c r="G22" s="51">
        <f t="shared" si="5"/>
        <v>0</v>
      </c>
      <c r="H22" s="486"/>
      <c r="I22" s="23" t="s">
        <v>201</v>
      </c>
      <c r="J22" s="23">
        <v>40</v>
      </c>
      <c r="K22" s="74">
        <v>2</v>
      </c>
      <c r="L22" s="73" t="s">
        <v>20</v>
      </c>
      <c r="M22" s="162">
        <v>45</v>
      </c>
      <c r="N22" s="51">
        <f>K22*M22</f>
        <v>90</v>
      </c>
      <c r="O22" s="464"/>
      <c r="P22" s="233" t="s">
        <v>251</v>
      </c>
      <c r="Q22" s="151"/>
      <c r="R22" s="92"/>
      <c r="S22" s="92"/>
      <c r="T22" s="162"/>
      <c r="U22" s="175">
        <f t="shared" si="1"/>
        <v>0</v>
      </c>
      <c r="V22" s="516"/>
      <c r="W22" s="526" t="s">
        <v>158</v>
      </c>
      <c r="X22" s="527"/>
      <c r="Y22" s="527"/>
      <c r="Z22" s="528"/>
      <c r="AA22" s="162"/>
      <c r="AB22" s="175">
        <f t="shared" si="2"/>
        <v>0</v>
      </c>
      <c r="AC22" s="516"/>
      <c r="AD22" s="59" t="s">
        <v>190</v>
      </c>
      <c r="AE22" s="59">
        <v>6</v>
      </c>
      <c r="AF22" s="74" t="s">
        <v>21</v>
      </c>
      <c r="AG22" s="353" t="s">
        <v>2</v>
      </c>
      <c r="AH22" s="162"/>
      <c r="AI22" s="175"/>
    </row>
    <row r="23" spans="1:35" s="49" customFormat="1" ht="18.75" customHeight="1">
      <c r="A23" s="464"/>
      <c r="B23" s="23"/>
      <c r="C23" s="23"/>
      <c r="D23" s="92"/>
      <c r="E23" s="93"/>
      <c r="F23" s="50"/>
      <c r="G23" s="51">
        <f t="shared" si="5"/>
        <v>0</v>
      </c>
      <c r="H23" s="486"/>
      <c r="I23" s="239" t="s">
        <v>240</v>
      </c>
      <c r="J23" s="51">
        <v>85</v>
      </c>
      <c r="K23" s="74">
        <f>ROUND($AE$1*J23/1000,0)</f>
        <v>6</v>
      </c>
      <c r="L23" s="60" t="s">
        <v>48</v>
      </c>
      <c r="M23" s="372">
        <v>95</v>
      </c>
      <c r="N23" s="51">
        <f>K23*M23</f>
        <v>570</v>
      </c>
      <c r="O23" s="464"/>
      <c r="P23" s="161"/>
      <c r="Q23" s="161"/>
      <c r="R23" s="74"/>
      <c r="S23" s="74"/>
      <c r="T23" s="50"/>
      <c r="U23" s="175">
        <f t="shared" si="1"/>
        <v>0</v>
      </c>
      <c r="V23" s="516"/>
      <c r="W23" s="529" t="s">
        <v>159</v>
      </c>
      <c r="X23" s="530"/>
      <c r="Y23" s="530"/>
      <c r="Z23" s="531"/>
      <c r="AA23" s="50"/>
      <c r="AB23" s="175">
        <f t="shared" si="2"/>
        <v>0</v>
      </c>
      <c r="AC23" s="516"/>
      <c r="AD23" s="239" t="s">
        <v>252</v>
      </c>
      <c r="AE23" s="59">
        <v>33</v>
      </c>
      <c r="AF23" s="74" t="s">
        <v>21</v>
      </c>
      <c r="AG23" s="353" t="s">
        <v>19</v>
      </c>
      <c r="AH23" s="50"/>
      <c r="AI23" s="175"/>
    </row>
    <row r="24" spans="1:35" s="49" customFormat="1" ht="18.75" customHeight="1" thickBot="1">
      <c r="A24" s="464"/>
      <c r="B24" s="223"/>
      <c r="C24" s="223"/>
      <c r="D24" s="221"/>
      <c r="E24" s="222"/>
      <c r="F24" s="165"/>
      <c r="G24" s="166">
        <f t="shared" si="5"/>
        <v>0</v>
      </c>
      <c r="H24" s="535"/>
      <c r="I24" s="233"/>
      <c r="J24" s="61"/>
      <c r="K24" s="23"/>
      <c r="L24" s="25"/>
      <c r="M24" s="165"/>
      <c r="N24" s="166">
        <f>K24*M24</f>
        <v>0</v>
      </c>
      <c r="O24" s="464"/>
      <c r="P24" s="163"/>
      <c r="Q24" s="163"/>
      <c r="R24" s="145"/>
      <c r="S24" s="164"/>
      <c r="T24" s="165"/>
      <c r="U24" s="354">
        <f t="shared" si="1"/>
        <v>0</v>
      </c>
      <c r="V24" s="468"/>
      <c r="W24" s="532" t="s">
        <v>160</v>
      </c>
      <c r="X24" s="533"/>
      <c r="Y24" s="533"/>
      <c r="Z24" s="534"/>
      <c r="AA24" s="165"/>
      <c r="AB24" s="354">
        <f t="shared" si="2"/>
        <v>0</v>
      </c>
      <c r="AC24" s="468"/>
      <c r="AD24" s="318" t="s">
        <v>43</v>
      </c>
      <c r="AE24" s="318">
        <v>54</v>
      </c>
      <c r="AF24" s="355">
        <f>ROUND($AE$1*AE24/1000,1)</f>
        <v>4</v>
      </c>
      <c r="AG24" s="164" t="s">
        <v>0</v>
      </c>
      <c r="AH24" s="224">
        <v>105</v>
      </c>
      <c r="AI24" s="175">
        <f t="shared" si="0"/>
        <v>420</v>
      </c>
    </row>
    <row r="25" spans="1:36" s="40" customFormat="1" ht="18.75" customHeight="1">
      <c r="A25" s="453" t="s">
        <v>81</v>
      </c>
      <c r="B25" s="96" t="s">
        <v>82</v>
      </c>
      <c r="C25" s="380">
        <v>2</v>
      </c>
      <c r="D25" s="380"/>
      <c r="E25" s="381"/>
      <c r="F25" s="426">
        <f>SUM(G6:G24)</f>
        <v>3365</v>
      </c>
      <c r="G25" s="458"/>
      <c r="H25" s="423" t="s">
        <v>81</v>
      </c>
      <c r="I25" s="96" t="s">
        <v>82</v>
      </c>
      <c r="J25" s="380">
        <v>2.8</v>
      </c>
      <c r="K25" s="380"/>
      <c r="L25" s="381"/>
      <c r="M25" s="426">
        <f>SUM(N6:N24)</f>
        <v>1116.8</v>
      </c>
      <c r="N25" s="458"/>
      <c r="O25" s="435" t="s">
        <v>81</v>
      </c>
      <c r="P25" s="167" t="s">
        <v>82</v>
      </c>
      <c r="Q25" s="380">
        <v>2.2</v>
      </c>
      <c r="R25" s="380"/>
      <c r="S25" s="381"/>
      <c r="T25" s="457">
        <f>SUM(U6:U24)</f>
        <v>2233.9</v>
      </c>
      <c r="U25" s="458"/>
      <c r="V25" s="459" t="s">
        <v>81</v>
      </c>
      <c r="W25" s="96" t="s">
        <v>82</v>
      </c>
      <c r="X25" s="380">
        <v>2</v>
      </c>
      <c r="Y25" s="380"/>
      <c r="Z25" s="381"/>
      <c r="AA25" s="457">
        <f>SUM(AB6:AB24)</f>
        <v>2394.4</v>
      </c>
      <c r="AB25" s="458"/>
      <c r="AC25" s="459" t="s">
        <v>81</v>
      </c>
      <c r="AD25" s="96" t="s">
        <v>82</v>
      </c>
      <c r="AE25" s="380">
        <v>2.5</v>
      </c>
      <c r="AF25" s="380"/>
      <c r="AG25" s="399"/>
      <c r="AH25" s="457">
        <f>SUM(AI6:AI24)</f>
        <v>1129.6</v>
      </c>
      <c r="AI25" s="484"/>
      <c r="AJ25" s="122">
        <f>(AE25+C25+J25+Q25+X25)/5</f>
        <v>2.3</v>
      </c>
    </row>
    <row r="26" spans="1:36" s="40" customFormat="1" ht="18.75" customHeight="1">
      <c r="A26" s="454"/>
      <c r="B26" s="98" t="s">
        <v>83</v>
      </c>
      <c r="C26" s="382">
        <v>0.5</v>
      </c>
      <c r="D26" s="382"/>
      <c r="E26" s="383"/>
      <c r="F26" s="99"/>
      <c r="G26" s="100"/>
      <c r="H26" s="424"/>
      <c r="I26" s="98" t="s">
        <v>83</v>
      </c>
      <c r="J26" s="382">
        <v>0.5</v>
      </c>
      <c r="K26" s="382"/>
      <c r="L26" s="383"/>
      <c r="M26" s="101"/>
      <c r="N26" s="100"/>
      <c r="O26" s="436"/>
      <c r="P26" s="168" t="s">
        <v>83</v>
      </c>
      <c r="Q26" s="382">
        <v>0.5</v>
      </c>
      <c r="R26" s="382"/>
      <c r="S26" s="383"/>
      <c r="T26" s="209"/>
      <c r="U26" s="100"/>
      <c r="V26" s="460"/>
      <c r="W26" s="98" t="s">
        <v>83</v>
      </c>
      <c r="X26" s="382">
        <v>0.5</v>
      </c>
      <c r="Y26" s="382"/>
      <c r="Z26" s="383"/>
      <c r="AA26" s="103"/>
      <c r="AB26" s="100"/>
      <c r="AC26" s="460"/>
      <c r="AD26" s="98" t="s">
        <v>83</v>
      </c>
      <c r="AE26" s="382">
        <v>0.7</v>
      </c>
      <c r="AF26" s="382"/>
      <c r="AG26" s="384"/>
      <c r="AH26" s="104"/>
      <c r="AI26" s="105"/>
      <c r="AJ26" s="122">
        <f aca="true" t="shared" si="6" ref="AJ26:AJ31">(AE26+C26+J26+Q26+X26)/5</f>
        <v>0.54</v>
      </c>
    </row>
    <row r="27" spans="1:36" s="40" customFormat="1" ht="18.75" customHeight="1">
      <c r="A27" s="454"/>
      <c r="B27" s="106" t="s">
        <v>86</v>
      </c>
      <c r="C27" s="382">
        <v>0.2</v>
      </c>
      <c r="D27" s="382"/>
      <c r="E27" s="383"/>
      <c r="F27" s="99"/>
      <c r="G27" s="100"/>
      <c r="H27" s="424"/>
      <c r="I27" s="106" t="s">
        <v>86</v>
      </c>
      <c r="J27" s="382">
        <v>0.4</v>
      </c>
      <c r="K27" s="382"/>
      <c r="L27" s="383"/>
      <c r="M27" s="101"/>
      <c r="N27" s="100"/>
      <c r="O27" s="436"/>
      <c r="P27" s="169" t="s">
        <v>86</v>
      </c>
      <c r="Q27" s="382">
        <v>0.4</v>
      </c>
      <c r="R27" s="382"/>
      <c r="S27" s="383"/>
      <c r="T27" s="209"/>
      <c r="U27" s="100"/>
      <c r="V27" s="460"/>
      <c r="W27" s="106" t="s">
        <v>86</v>
      </c>
      <c r="X27" s="382">
        <v>0.5</v>
      </c>
      <c r="Y27" s="382"/>
      <c r="Z27" s="383"/>
      <c r="AA27" s="103"/>
      <c r="AB27" s="100"/>
      <c r="AC27" s="460"/>
      <c r="AD27" s="106" t="s">
        <v>86</v>
      </c>
      <c r="AE27" s="382">
        <v>0.4</v>
      </c>
      <c r="AF27" s="382"/>
      <c r="AG27" s="384"/>
      <c r="AH27" s="104"/>
      <c r="AI27" s="105"/>
      <c r="AJ27" s="122">
        <f t="shared" si="6"/>
        <v>0.38</v>
      </c>
    </row>
    <row r="28" spans="1:36" s="40" customFormat="1" ht="18.75" customHeight="1">
      <c r="A28" s="454"/>
      <c r="B28" s="107" t="s">
        <v>84</v>
      </c>
      <c r="C28" s="382">
        <v>0.5</v>
      </c>
      <c r="D28" s="382"/>
      <c r="E28" s="383"/>
      <c r="F28" s="99"/>
      <c r="G28" s="100"/>
      <c r="H28" s="424"/>
      <c r="I28" s="107" t="s">
        <v>84</v>
      </c>
      <c r="J28" s="382">
        <v>0.5</v>
      </c>
      <c r="K28" s="382"/>
      <c r="L28" s="383"/>
      <c r="M28" s="101"/>
      <c r="N28" s="100"/>
      <c r="O28" s="436"/>
      <c r="P28" s="170" t="s">
        <v>85</v>
      </c>
      <c r="Q28" s="382">
        <v>0.5</v>
      </c>
      <c r="R28" s="382"/>
      <c r="S28" s="383"/>
      <c r="T28" s="209"/>
      <c r="U28" s="100"/>
      <c r="V28" s="460"/>
      <c r="W28" s="107" t="s">
        <v>85</v>
      </c>
      <c r="X28" s="382">
        <v>0.5</v>
      </c>
      <c r="Y28" s="382"/>
      <c r="Z28" s="383"/>
      <c r="AA28" s="103"/>
      <c r="AB28" s="100"/>
      <c r="AC28" s="460"/>
      <c r="AD28" s="107" t="s">
        <v>85</v>
      </c>
      <c r="AE28" s="382">
        <v>0.5</v>
      </c>
      <c r="AF28" s="382"/>
      <c r="AG28" s="384"/>
      <c r="AH28" s="104"/>
      <c r="AI28" s="105"/>
      <c r="AJ28" s="122">
        <f t="shared" si="6"/>
        <v>0.5</v>
      </c>
    </row>
    <row r="29" spans="1:36" s="40" customFormat="1" ht="18.75" customHeight="1">
      <c r="A29" s="454"/>
      <c r="B29" s="98" t="s">
        <v>87</v>
      </c>
      <c r="C29" s="382">
        <v>1</v>
      </c>
      <c r="D29" s="382"/>
      <c r="E29" s="383"/>
      <c r="F29" s="99"/>
      <c r="G29" s="100"/>
      <c r="H29" s="424"/>
      <c r="I29" s="98" t="s">
        <v>87</v>
      </c>
      <c r="J29" s="382">
        <v>0</v>
      </c>
      <c r="K29" s="382"/>
      <c r="L29" s="383"/>
      <c r="M29" s="101"/>
      <c r="N29" s="100"/>
      <c r="O29" s="436"/>
      <c r="P29" s="168" t="s">
        <v>87</v>
      </c>
      <c r="Q29" s="382">
        <v>1</v>
      </c>
      <c r="R29" s="382"/>
      <c r="S29" s="383"/>
      <c r="T29" s="209"/>
      <c r="U29" s="100"/>
      <c r="V29" s="460"/>
      <c r="W29" s="98" t="s">
        <v>87</v>
      </c>
      <c r="X29" s="382">
        <v>0.7</v>
      </c>
      <c r="Y29" s="382"/>
      <c r="Z29" s="383"/>
      <c r="AA29" s="103"/>
      <c r="AB29" s="100"/>
      <c r="AC29" s="460"/>
      <c r="AD29" s="98" t="s">
        <v>87</v>
      </c>
      <c r="AE29" s="382">
        <v>1</v>
      </c>
      <c r="AF29" s="382"/>
      <c r="AG29" s="384"/>
      <c r="AH29" s="104"/>
      <c r="AI29" s="105"/>
      <c r="AJ29" s="122">
        <f t="shared" si="6"/>
        <v>0.74</v>
      </c>
    </row>
    <row r="30" spans="1:36" s="40" customFormat="1" ht="18.75" customHeight="1">
      <c r="A30" s="454"/>
      <c r="B30" s="98" t="s">
        <v>88</v>
      </c>
      <c r="C30" s="382">
        <v>0.6</v>
      </c>
      <c r="D30" s="382"/>
      <c r="E30" s="383"/>
      <c r="F30" s="99"/>
      <c r="G30" s="100"/>
      <c r="H30" s="424"/>
      <c r="I30" s="98" t="s">
        <v>88</v>
      </c>
      <c r="J30" s="382">
        <v>0.4</v>
      </c>
      <c r="K30" s="382"/>
      <c r="L30" s="383"/>
      <c r="M30" s="108"/>
      <c r="N30" s="100"/>
      <c r="O30" s="436"/>
      <c r="P30" s="168" t="s">
        <v>88</v>
      </c>
      <c r="Q30" s="382">
        <v>0.6</v>
      </c>
      <c r="R30" s="382"/>
      <c r="S30" s="383"/>
      <c r="T30" s="209"/>
      <c r="U30" s="100"/>
      <c r="V30" s="460"/>
      <c r="W30" s="98" t="s">
        <v>88</v>
      </c>
      <c r="X30" s="382">
        <v>0.6</v>
      </c>
      <c r="Y30" s="382"/>
      <c r="Z30" s="383"/>
      <c r="AA30" s="103"/>
      <c r="AB30" s="100"/>
      <c r="AC30" s="460"/>
      <c r="AD30" s="98" t="s">
        <v>88</v>
      </c>
      <c r="AE30" s="382">
        <v>0.3</v>
      </c>
      <c r="AF30" s="382"/>
      <c r="AG30" s="384"/>
      <c r="AH30" s="104"/>
      <c r="AI30" s="105"/>
      <c r="AJ30" s="122">
        <f t="shared" si="6"/>
        <v>0.5</v>
      </c>
    </row>
    <row r="31" spans="1:36" s="40" customFormat="1" ht="18.75" customHeight="1" thickBot="1">
      <c r="A31" s="455"/>
      <c r="B31" s="109" t="s">
        <v>89</v>
      </c>
      <c r="C31" s="378">
        <f>C25*70+C26*75+C27*25+C28*45+C30*120+C29*60</f>
        <v>337</v>
      </c>
      <c r="D31" s="378"/>
      <c r="E31" s="379"/>
      <c r="F31" s="110"/>
      <c r="G31" s="111"/>
      <c r="H31" s="425"/>
      <c r="I31" s="109" t="s">
        <v>89</v>
      </c>
      <c r="J31" s="378">
        <f>J25*70+J26*75+J27*25+J28*45+J30*120+J29*60</f>
        <v>314</v>
      </c>
      <c r="K31" s="378"/>
      <c r="L31" s="379"/>
      <c r="M31" s="112"/>
      <c r="N31" s="111"/>
      <c r="O31" s="437"/>
      <c r="P31" s="171" t="s">
        <v>89</v>
      </c>
      <c r="Q31" s="378">
        <f>Q25*70+Q26*75+Q27*25+Q28*45+Q30*120+Q29*60</f>
        <v>356</v>
      </c>
      <c r="R31" s="378"/>
      <c r="S31" s="379"/>
      <c r="T31" s="210"/>
      <c r="U31" s="111"/>
      <c r="V31" s="461"/>
      <c r="W31" s="109" t="s">
        <v>89</v>
      </c>
      <c r="X31" s="378">
        <f>X25*70+X26*75+X27*25+X28*45+X30*120+X29*60</f>
        <v>326.5</v>
      </c>
      <c r="Y31" s="378"/>
      <c r="Z31" s="379"/>
      <c r="AA31" s="114"/>
      <c r="AB31" s="111"/>
      <c r="AC31" s="461"/>
      <c r="AD31" s="109" t="s">
        <v>89</v>
      </c>
      <c r="AE31" s="378">
        <f>AE25*70+AE26*75+AE27*25+AE28*45+AE30*120+AE29*60</f>
        <v>356</v>
      </c>
      <c r="AF31" s="378"/>
      <c r="AG31" s="434"/>
      <c r="AH31" s="115"/>
      <c r="AI31" s="116"/>
      <c r="AJ31" s="122">
        <f t="shared" si="6"/>
        <v>337.9</v>
      </c>
    </row>
    <row r="32" spans="1:35" s="49" customFormat="1" ht="18.75" customHeight="1">
      <c r="A32" s="81"/>
      <c r="B32" s="82"/>
      <c r="C32" s="82"/>
      <c r="D32" s="117"/>
      <c r="E32" s="117"/>
      <c r="F32" s="83"/>
      <c r="G32" s="82"/>
      <c r="H32" s="84"/>
      <c r="I32" s="82"/>
      <c r="J32" s="82"/>
      <c r="K32" s="117"/>
      <c r="L32" s="117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17"/>
      <c r="AG32" s="117"/>
      <c r="AH32" s="83"/>
      <c r="AI32" s="82"/>
    </row>
    <row r="33" spans="1:45" s="49" customFormat="1" ht="19.5" customHeight="1">
      <c r="A33" s="456" t="s">
        <v>51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118"/>
      <c r="AJ33" s="64"/>
      <c r="AK33" s="64"/>
      <c r="AL33" s="64"/>
      <c r="AM33" s="64"/>
      <c r="AN33" s="64"/>
      <c r="AO33" s="64"/>
      <c r="AP33" s="64"/>
      <c r="AQ33" s="64"/>
      <c r="AR33" s="64"/>
      <c r="AS33" s="64"/>
    </row>
    <row r="34" spans="1:45" s="49" customFormat="1" ht="22.5" customHeight="1">
      <c r="A34" s="465" t="s">
        <v>62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119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ht="22.5" customHeight="1"/>
  </sheetData>
  <sheetProtection/>
  <mergeCells count="87">
    <mergeCell ref="A2:A4"/>
    <mergeCell ref="B2:E2"/>
    <mergeCell ref="H2:H4"/>
    <mergeCell ref="I2:L2"/>
    <mergeCell ref="O2:O4"/>
    <mergeCell ref="A1:N1"/>
    <mergeCell ref="P2:S2"/>
    <mergeCell ref="V2:V4"/>
    <mergeCell ref="W2:Z2"/>
    <mergeCell ref="AC2:AC4"/>
    <mergeCell ref="AC5:AG5"/>
    <mergeCell ref="AC6:AC15"/>
    <mergeCell ref="A6:A15"/>
    <mergeCell ref="AD2:AG2"/>
    <mergeCell ref="B4:E4"/>
    <mergeCell ref="I4:L4"/>
    <mergeCell ref="P4:S4"/>
    <mergeCell ref="W4:Z4"/>
    <mergeCell ref="AD4:AG4"/>
    <mergeCell ref="H6:H15"/>
    <mergeCell ref="O6:O15"/>
    <mergeCell ref="V6:V15"/>
    <mergeCell ref="X26:Z26"/>
    <mergeCell ref="A5:E5"/>
    <mergeCell ref="H5:L5"/>
    <mergeCell ref="O5:S5"/>
    <mergeCell ref="V5:Z5"/>
    <mergeCell ref="A16:E16"/>
    <mergeCell ref="C26:E26"/>
    <mergeCell ref="V17:V24"/>
    <mergeCell ref="A25:A31"/>
    <mergeCell ref="M25:N25"/>
    <mergeCell ref="X27:Z27"/>
    <mergeCell ref="AE27:AG27"/>
    <mergeCell ref="C28:E28"/>
    <mergeCell ref="J28:L28"/>
    <mergeCell ref="Q28:S28"/>
    <mergeCell ref="X28:Z28"/>
    <mergeCell ref="AE28:AG28"/>
    <mergeCell ref="X31:Z31"/>
    <mergeCell ref="AE31:AG31"/>
    <mergeCell ref="Q30:S30"/>
    <mergeCell ref="X30:Z30"/>
    <mergeCell ref="O25:O31"/>
    <mergeCell ref="Q29:S29"/>
    <mergeCell ref="X29:Z29"/>
    <mergeCell ref="AE29:AG29"/>
    <mergeCell ref="AE26:AG26"/>
    <mergeCell ref="Q26:S26"/>
    <mergeCell ref="Q31:S31"/>
    <mergeCell ref="C25:E25"/>
    <mergeCell ref="F25:G25"/>
    <mergeCell ref="H25:H31"/>
    <mergeCell ref="C27:E27"/>
    <mergeCell ref="J26:L26"/>
    <mergeCell ref="Q27:S27"/>
    <mergeCell ref="J25:L25"/>
    <mergeCell ref="A33:AH33"/>
    <mergeCell ref="H16:L16"/>
    <mergeCell ref="C30:E30"/>
    <mergeCell ref="J30:L30"/>
    <mergeCell ref="C29:E29"/>
    <mergeCell ref="J29:L29"/>
    <mergeCell ref="A17:A24"/>
    <mergeCell ref="H17:H24"/>
    <mergeCell ref="C31:E31"/>
    <mergeCell ref="J31:L31"/>
    <mergeCell ref="O17:O24"/>
    <mergeCell ref="O16:S16"/>
    <mergeCell ref="V16:Z16"/>
    <mergeCell ref="AC16:AG16"/>
    <mergeCell ref="A34:AH34"/>
    <mergeCell ref="X25:Z25"/>
    <mergeCell ref="AA25:AB25"/>
    <mergeCell ref="AC25:AC31"/>
    <mergeCell ref="AE25:AG25"/>
    <mergeCell ref="AH25:AI25"/>
    <mergeCell ref="P1:AD1"/>
    <mergeCell ref="W22:Z22"/>
    <mergeCell ref="W23:Z23"/>
    <mergeCell ref="W24:Z24"/>
    <mergeCell ref="AE30:AG30"/>
    <mergeCell ref="J27:L27"/>
    <mergeCell ref="AC17:AC24"/>
    <mergeCell ref="Q25:S25"/>
    <mergeCell ref="T25:U25"/>
    <mergeCell ref="V25:V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C1">
      <selection activeCell="AD19" sqref="AD19:AG20"/>
    </sheetView>
  </sheetViews>
  <sheetFormatPr defaultColWidth="6.125" defaultRowHeight="16.5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8.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9.12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6.125" style="69" customWidth="1"/>
    <col min="36" max="36" width="7.50390625" style="72" bestFit="1" customWidth="1"/>
    <col min="37" max="37" width="7.25390625" style="72" bestFit="1" customWidth="1"/>
    <col min="38" max="16384" width="6.125" style="72" customWidth="1"/>
  </cols>
  <sheetData>
    <row r="1" spans="1:35" s="91" customFormat="1" ht="30" customHeight="1">
      <c r="A1" s="441" t="str">
        <f>'第四周'!A1</f>
        <v>僑愛國民小學112學年度上學期第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211">
        <f>'第四周'!O1+1</f>
        <v>14</v>
      </c>
      <c r="P1" s="377" t="s">
        <v>271</v>
      </c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90">
        <v>74</v>
      </c>
      <c r="AF1" s="90">
        <v>74</v>
      </c>
      <c r="AG1" s="90"/>
      <c r="AH1" s="90"/>
      <c r="AI1" s="90"/>
    </row>
    <row r="2" spans="1:36" s="40" customFormat="1" ht="18.75" customHeight="1">
      <c r="A2" s="404" t="s">
        <v>24</v>
      </c>
      <c r="B2" s="540">
        <v>44893</v>
      </c>
      <c r="C2" s="540"/>
      <c r="D2" s="540"/>
      <c r="E2" s="540"/>
      <c r="F2" s="31"/>
      <c r="G2" s="32"/>
      <c r="H2" s="472" t="s">
        <v>24</v>
      </c>
      <c r="I2" s="475">
        <f>B2+1</f>
        <v>44894</v>
      </c>
      <c r="J2" s="475"/>
      <c r="K2" s="475"/>
      <c r="L2" s="475"/>
      <c r="M2" s="33"/>
      <c r="N2" s="34"/>
      <c r="O2" s="477" t="s">
        <v>24</v>
      </c>
      <c r="P2" s="476">
        <f>I2+1</f>
        <v>44895</v>
      </c>
      <c r="Q2" s="476"/>
      <c r="R2" s="476"/>
      <c r="S2" s="476"/>
      <c r="T2" s="35"/>
      <c r="U2" s="36"/>
      <c r="V2" s="477" t="s">
        <v>24</v>
      </c>
      <c r="W2" s="482">
        <f>P2+1</f>
        <v>44896</v>
      </c>
      <c r="X2" s="482"/>
      <c r="Y2" s="482"/>
      <c r="Z2" s="482"/>
      <c r="AA2" s="37"/>
      <c r="AB2" s="38"/>
      <c r="AC2" s="477" t="s">
        <v>24</v>
      </c>
      <c r="AD2" s="492">
        <f>W2+1</f>
        <v>44897</v>
      </c>
      <c r="AE2" s="492"/>
      <c r="AF2" s="492"/>
      <c r="AG2" s="493"/>
      <c r="AH2" s="174"/>
      <c r="AI2" s="179"/>
      <c r="AJ2" s="39"/>
    </row>
    <row r="3" spans="1:36" s="40" customFormat="1" ht="18.75" customHeight="1">
      <c r="A3" s="404"/>
      <c r="B3" s="182" t="s">
        <v>25</v>
      </c>
      <c r="C3" s="182" t="s">
        <v>26</v>
      </c>
      <c r="D3" s="207" t="s">
        <v>27</v>
      </c>
      <c r="E3" s="207" t="s">
        <v>28</v>
      </c>
      <c r="F3" s="43" t="s">
        <v>29</v>
      </c>
      <c r="G3" s="41" t="s">
        <v>30</v>
      </c>
      <c r="H3" s="472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477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477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477"/>
      <c r="AD3" s="41" t="s">
        <v>25</v>
      </c>
      <c r="AE3" s="41" t="s">
        <v>26</v>
      </c>
      <c r="AF3" s="42" t="s">
        <v>27</v>
      </c>
      <c r="AG3" s="175" t="s">
        <v>28</v>
      </c>
      <c r="AH3" s="53" t="s">
        <v>29</v>
      </c>
      <c r="AI3" s="180" t="s">
        <v>30</v>
      </c>
      <c r="AJ3" s="212"/>
    </row>
    <row r="4" spans="1:36" s="49" customFormat="1" ht="18.75" customHeight="1" hidden="1">
      <c r="A4" s="404"/>
      <c r="B4" s="415" t="s">
        <v>31</v>
      </c>
      <c r="C4" s="415"/>
      <c r="D4" s="415"/>
      <c r="E4" s="415"/>
      <c r="F4" s="45"/>
      <c r="G4" s="46"/>
      <c r="H4" s="472"/>
      <c r="I4" s="474" t="s">
        <v>32</v>
      </c>
      <c r="J4" s="474"/>
      <c r="K4" s="474"/>
      <c r="L4" s="474"/>
      <c r="M4" s="45"/>
      <c r="N4" s="47"/>
      <c r="O4" s="477"/>
      <c r="P4" s="474" t="s">
        <v>33</v>
      </c>
      <c r="Q4" s="474"/>
      <c r="R4" s="474"/>
      <c r="S4" s="474"/>
      <c r="T4" s="43"/>
      <c r="U4" s="48"/>
      <c r="V4" s="477"/>
      <c r="W4" s="474" t="s">
        <v>34</v>
      </c>
      <c r="X4" s="474"/>
      <c r="Y4" s="474"/>
      <c r="Z4" s="474"/>
      <c r="AA4" s="45"/>
      <c r="AB4" s="47"/>
      <c r="AC4" s="477"/>
      <c r="AD4" s="494" t="s">
        <v>35</v>
      </c>
      <c r="AE4" s="494"/>
      <c r="AF4" s="494"/>
      <c r="AG4" s="495"/>
      <c r="AH4" s="45"/>
      <c r="AI4" s="181"/>
      <c r="AJ4" s="47"/>
    </row>
    <row r="5" spans="1:36" s="49" customFormat="1" ht="18.75" customHeight="1">
      <c r="A5" s="396" t="s">
        <v>36</v>
      </c>
      <c r="B5" s="394"/>
      <c r="C5" s="394"/>
      <c r="D5" s="394"/>
      <c r="E5" s="394"/>
      <c r="F5" s="86"/>
      <c r="G5" s="87"/>
      <c r="H5" s="396" t="s">
        <v>36</v>
      </c>
      <c r="I5" s="394"/>
      <c r="J5" s="394"/>
      <c r="K5" s="394"/>
      <c r="L5" s="394"/>
      <c r="M5" s="86"/>
      <c r="N5" s="88"/>
      <c r="O5" s="387" t="s">
        <v>36</v>
      </c>
      <c r="P5" s="394"/>
      <c r="Q5" s="394"/>
      <c r="R5" s="394"/>
      <c r="S5" s="394"/>
      <c r="T5" s="86"/>
      <c r="U5" s="88"/>
      <c r="V5" s="387" t="s">
        <v>36</v>
      </c>
      <c r="W5" s="394"/>
      <c r="X5" s="394"/>
      <c r="Y5" s="394"/>
      <c r="Z5" s="394"/>
      <c r="AA5" s="86"/>
      <c r="AB5" s="88"/>
      <c r="AC5" s="387" t="s">
        <v>36</v>
      </c>
      <c r="AD5" s="394"/>
      <c r="AE5" s="394"/>
      <c r="AF5" s="394"/>
      <c r="AG5" s="395"/>
      <c r="AH5" s="45"/>
      <c r="AI5" s="181"/>
      <c r="AJ5" s="47"/>
    </row>
    <row r="6" spans="1:36" s="49" customFormat="1" ht="18.75" customHeight="1">
      <c r="A6" s="463" t="s">
        <v>286</v>
      </c>
      <c r="B6" s="23" t="s">
        <v>285</v>
      </c>
      <c r="C6" s="23">
        <v>1.5</v>
      </c>
      <c r="D6" s="74">
        <f>ROUND($AF$1*C6/40,0)</f>
        <v>3</v>
      </c>
      <c r="E6" s="120" t="s">
        <v>20</v>
      </c>
      <c r="F6" s="50"/>
      <c r="G6" s="51">
        <f aca="true" t="shared" si="0" ref="G6:G11">D6*F6</f>
        <v>0</v>
      </c>
      <c r="H6" s="463" t="s">
        <v>261</v>
      </c>
      <c r="I6" s="23" t="s">
        <v>264</v>
      </c>
      <c r="J6" s="23">
        <v>27</v>
      </c>
      <c r="K6" s="23">
        <f aca="true" t="shared" si="1" ref="K6:K11">ROUND($AF$1*J6/1000,1)</f>
        <v>2</v>
      </c>
      <c r="L6" s="23" t="s">
        <v>2</v>
      </c>
      <c r="M6" s="190"/>
      <c r="N6" s="51">
        <f>K6*M6</f>
        <v>0</v>
      </c>
      <c r="O6" s="541" t="s">
        <v>282</v>
      </c>
      <c r="P6" s="55" t="s">
        <v>212</v>
      </c>
      <c r="Q6" s="55">
        <v>40</v>
      </c>
      <c r="R6" s="74" t="s">
        <v>21</v>
      </c>
      <c r="S6" s="120" t="s">
        <v>0</v>
      </c>
      <c r="T6" s="53"/>
      <c r="U6" s="48" t="e">
        <f>R6*T6</f>
        <v>#VALUE!</v>
      </c>
      <c r="V6" s="463" t="s">
        <v>213</v>
      </c>
      <c r="W6" s="56" t="s">
        <v>65</v>
      </c>
      <c r="X6" s="24">
        <v>0.85</v>
      </c>
      <c r="Y6" s="74">
        <f>ROUND($AF$1*X6/20,0)</f>
        <v>3</v>
      </c>
      <c r="Z6" s="25" t="s">
        <v>66</v>
      </c>
      <c r="AA6" s="53"/>
      <c r="AB6" s="51">
        <f>Y6*AA6</f>
        <v>0</v>
      </c>
      <c r="AC6" s="543" t="s">
        <v>210</v>
      </c>
      <c r="AD6" s="55" t="s">
        <v>211</v>
      </c>
      <c r="AE6" s="55">
        <v>75</v>
      </c>
      <c r="AF6" s="74">
        <f>ROUND($AF$1*AE6/1000,0)</f>
        <v>6</v>
      </c>
      <c r="AG6" s="120" t="s">
        <v>0</v>
      </c>
      <c r="AH6" s="53"/>
      <c r="AI6" s="175">
        <f>AF6*AH6</f>
        <v>0</v>
      </c>
      <c r="AJ6" s="51"/>
    </row>
    <row r="7" spans="1:36" s="49" customFormat="1" ht="18.75" customHeight="1">
      <c r="A7" s="464"/>
      <c r="B7" s="23" t="s">
        <v>215</v>
      </c>
      <c r="C7" s="24"/>
      <c r="D7" s="74"/>
      <c r="E7" s="25"/>
      <c r="F7" s="50"/>
      <c r="G7" s="51">
        <f t="shared" si="0"/>
        <v>0</v>
      </c>
      <c r="H7" s="464"/>
      <c r="I7" s="23" t="s">
        <v>263</v>
      </c>
      <c r="J7" s="23">
        <v>13.5</v>
      </c>
      <c r="K7" s="23">
        <f t="shared" si="1"/>
        <v>1</v>
      </c>
      <c r="L7" s="23" t="s">
        <v>2</v>
      </c>
      <c r="M7" s="190"/>
      <c r="N7" s="51"/>
      <c r="O7" s="542"/>
      <c r="P7" s="213" t="s">
        <v>283</v>
      </c>
      <c r="Q7" s="55">
        <v>14</v>
      </c>
      <c r="R7" s="74">
        <f>ROUND($AF$1*Q7/1000,1)</f>
        <v>1</v>
      </c>
      <c r="S7" s="93" t="s">
        <v>0</v>
      </c>
      <c r="T7" s="53"/>
      <c r="U7" s="48">
        <f>R7*T7</f>
        <v>0</v>
      </c>
      <c r="V7" s="464"/>
      <c r="W7" s="56" t="s">
        <v>113</v>
      </c>
      <c r="X7" s="24">
        <v>0.4</v>
      </c>
      <c r="Y7" s="74">
        <f>ROUND($AF$1*X7/10,0)</f>
        <v>3</v>
      </c>
      <c r="Z7" s="25" t="s">
        <v>66</v>
      </c>
      <c r="AA7" s="53"/>
      <c r="AB7" s="51">
        <f>Y7*AA7*65/1000</f>
        <v>0</v>
      </c>
      <c r="AC7" s="544"/>
      <c r="AD7" s="55" t="s">
        <v>214</v>
      </c>
      <c r="AE7" s="55">
        <v>16.5</v>
      </c>
      <c r="AF7" s="74">
        <v>3</v>
      </c>
      <c r="AG7" s="93" t="s">
        <v>0</v>
      </c>
      <c r="AH7" s="53"/>
      <c r="AI7" s="175">
        <f aca="true" t="shared" si="2" ref="AI7:AI25">AF7*AH7</f>
        <v>0</v>
      </c>
      <c r="AJ7" s="51"/>
    </row>
    <row r="8" spans="1:36" s="49" customFormat="1" ht="18.75" customHeight="1">
      <c r="A8" s="464"/>
      <c r="B8" s="23" t="s">
        <v>38</v>
      </c>
      <c r="C8" s="24">
        <v>0.5</v>
      </c>
      <c r="D8" s="74">
        <f>ROUND($AF$1*C8,1)</f>
        <v>37</v>
      </c>
      <c r="E8" s="25" t="s">
        <v>55</v>
      </c>
      <c r="F8" s="50"/>
      <c r="G8" s="51">
        <f t="shared" si="0"/>
        <v>0</v>
      </c>
      <c r="H8" s="464"/>
      <c r="I8" s="23" t="s">
        <v>71</v>
      </c>
      <c r="J8" s="23">
        <v>1.5</v>
      </c>
      <c r="K8" s="23">
        <f t="shared" si="1"/>
        <v>0.1</v>
      </c>
      <c r="L8" s="23" t="s">
        <v>2</v>
      </c>
      <c r="M8" s="190"/>
      <c r="N8" s="51"/>
      <c r="O8" s="542"/>
      <c r="P8" s="55" t="s">
        <v>217</v>
      </c>
      <c r="Q8" s="55">
        <v>28</v>
      </c>
      <c r="R8" s="74">
        <f>ROUND($AF$1*Q8/1000,1)</f>
        <v>2.1</v>
      </c>
      <c r="S8" s="93" t="s">
        <v>0</v>
      </c>
      <c r="T8" s="53"/>
      <c r="U8" s="48"/>
      <c r="V8" s="464"/>
      <c r="W8" s="23" t="s">
        <v>38</v>
      </c>
      <c r="X8" s="24">
        <v>0.5</v>
      </c>
      <c r="Y8" s="74">
        <f>ROUND($AF$1*X8,1)</f>
        <v>37</v>
      </c>
      <c r="Z8" s="25" t="s">
        <v>55</v>
      </c>
      <c r="AA8" s="53"/>
      <c r="AB8" s="51">
        <f>Y8*AA8</f>
        <v>0</v>
      </c>
      <c r="AC8" s="544"/>
      <c r="AD8" s="55" t="s">
        <v>216</v>
      </c>
      <c r="AE8" s="55">
        <v>8</v>
      </c>
      <c r="AF8" s="74">
        <f aca="true" t="shared" si="3" ref="AF8:AF14">ROUND($AF$1*AE8/1000,1)</f>
        <v>0.6</v>
      </c>
      <c r="AG8" s="93" t="s">
        <v>0</v>
      </c>
      <c r="AH8" s="53"/>
      <c r="AI8" s="175">
        <f t="shared" si="2"/>
        <v>0</v>
      </c>
      <c r="AJ8" s="51"/>
    </row>
    <row r="9" spans="1:36" s="49" customFormat="1" ht="18.75" customHeight="1">
      <c r="A9" s="464"/>
      <c r="B9" s="23" t="s">
        <v>218</v>
      </c>
      <c r="C9" s="23">
        <v>5</v>
      </c>
      <c r="D9" s="74">
        <f>ROUND($AF$1*C9/1000,1)</f>
        <v>0.4</v>
      </c>
      <c r="E9" s="73" t="s">
        <v>0</v>
      </c>
      <c r="F9" s="152"/>
      <c r="G9" s="51">
        <f t="shared" si="0"/>
        <v>0</v>
      </c>
      <c r="H9" s="464"/>
      <c r="I9" s="23" t="s">
        <v>260</v>
      </c>
      <c r="J9" s="23">
        <v>5</v>
      </c>
      <c r="K9" s="23">
        <f t="shared" si="1"/>
        <v>0.4</v>
      </c>
      <c r="L9" s="23" t="s">
        <v>2</v>
      </c>
      <c r="M9" s="190"/>
      <c r="N9" s="51">
        <f>K9*M9</f>
        <v>0</v>
      </c>
      <c r="O9" s="542"/>
      <c r="P9" s="55" t="s">
        <v>63</v>
      </c>
      <c r="Q9" s="55">
        <v>6</v>
      </c>
      <c r="R9" s="74">
        <f>ROUND($AF$1*Q9/1000,1)</f>
        <v>0.4</v>
      </c>
      <c r="S9" s="93" t="s">
        <v>0</v>
      </c>
      <c r="T9" s="53"/>
      <c r="U9" s="48">
        <f>R9*T9</f>
        <v>0</v>
      </c>
      <c r="V9" s="464"/>
      <c r="W9" s="23" t="s">
        <v>1</v>
      </c>
      <c r="X9" s="23">
        <v>30</v>
      </c>
      <c r="Y9" s="74">
        <f>ROUND($AF$1*X9/1000,1)</f>
        <v>2.2</v>
      </c>
      <c r="Z9" s="73" t="s">
        <v>0</v>
      </c>
      <c r="AA9" s="53"/>
      <c r="AB9" s="51">
        <f>Y9*AA9</f>
        <v>0</v>
      </c>
      <c r="AC9" s="544"/>
      <c r="AD9" s="55" t="s">
        <v>64</v>
      </c>
      <c r="AE9" s="55">
        <v>8.5</v>
      </c>
      <c r="AF9" s="74">
        <f t="shared" si="3"/>
        <v>0.6</v>
      </c>
      <c r="AG9" s="93" t="s">
        <v>0</v>
      </c>
      <c r="AH9" s="53"/>
      <c r="AI9" s="175">
        <f t="shared" si="2"/>
        <v>0</v>
      </c>
      <c r="AJ9" s="51"/>
    </row>
    <row r="10" spans="1:36" s="49" customFormat="1" ht="18.75" customHeight="1">
      <c r="A10" s="464"/>
      <c r="B10" s="23"/>
      <c r="C10" s="23"/>
      <c r="D10" s="74"/>
      <c r="E10" s="74"/>
      <c r="F10" s="152"/>
      <c r="G10" s="51">
        <f t="shared" si="0"/>
        <v>0</v>
      </c>
      <c r="H10" s="464"/>
      <c r="I10" s="23" t="s">
        <v>262</v>
      </c>
      <c r="J10" s="23">
        <v>67</v>
      </c>
      <c r="K10" s="23">
        <f>ROUND($AF$1*J10/1000,0)</f>
        <v>5</v>
      </c>
      <c r="L10" s="23" t="s">
        <v>2</v>
      </c>
      <c r="M10" s="190"/>
      <c r="N10" s="51"/>
      <c r="O10" s="542"/>
      <c r="P10" s="214" t="s">
        <v>220</v>
      </c>
      <c r="Q10" s="55">
        <v>3</v>
      </c>
      <c r="R10" s="74">
        <f>ROUND($AF$1*Q10/1000,1)</f>
        <v>0.2</v>
      </c>
      <c r="S10" s="93" t="s">
        <v>0</v>
      </c>
      <c r="T10" s="53"/>
      <c r="U10" s="48">
        <f>R10*T10</f>
        <v>0</v>
      </c>
      <c r="V10" s="464"/>
      <c r="W10" s="23"/>
      <c r="X10" s="24"/>
      <c r="Y10" s="74"/>
      <c r="Z10" s="73"/>
      <c r="AA10" s="53"/>
      <c r="AB10" s="51">
        <f>Y10*AA10</f>
        <v>0</v>
      </c>
      <c r="AC10" s="544"/>
      <c r="AD10" s="55" t="s">
        <v>219</v>
      </c>
      <c r="AE10" s="55">
        <v>2.5</v>
      </c>
      <c r="AF10" s="74">
        <f t="shared" si="3"/>
        <v>0.2</v>
      </c>
      <c r="AG10" s="93" t="s">
        <v>0</v>
      </c>
      <c r="AH10" s="53"/>
      <c r="AI10" s="175">
        <f t="shared" si="2"/>
        <v>0</v>
      </c>
      <c r="AJ10" s="51"/>
    </row>
    <row r="11" spans="1:36" s="49" customFormat="1" ht="18.75" customHeight="1">
      <c r="A11" s="464"/>
      <c r="B11" s="59" t="s">
        <v>97</v>
      </c>
      <c r="C11" s="54">
        <v>80</v>
      </c>
      <c r="D11" s="74">
        <f>ROUND($AF$1*C11/1000,0)</f>
        <v>6</v>
      </c>
      <c r="E11" s="73" t="s">
        <v>19</v>
      </c>
      <c r="F11" s="152"/>
      <c r="G11" s="51">
        <f t="shared" si="0"/>
        <v>0</v>
      </c>
      <c r="H11" s="464"/>
      <c r="I11" s="23" t="s">
        <v>1</v>
      </c>
      <c r="J11" s="23">
        <v>30</v>
      </c>
      <c r="K11" s="23">
        <f t="shared" si="1"/>
        <v>2.2</v>
      </c>
      <c r="L11" s="23" t="s">
        <v>2</v>
      </c>
      <c r="M11" s="190"/>
      <c r="N11" s="51">
        <f>K11*M11</f>
        <v>0</v>
      </c>
      <c r="O11" s="542"/>
      <c r="P11" s="55" t="s">
        <v>108</v>
      </c>
      <c r="Q11" s="55">
        <v>2.5</v>
      </c>
      <c r="R11" s="74" t="s">
        <v>21</v>
      </c>
      <c r="S11" s="93" t="s">
        <v>0</v>
      </c>
      <c r="T11" s="53"/>
      <c r="U11" s="48"/>
      <c r="V11" s="464"/>
      <c r="W11" s="23"/>
      <c r="X11" s="23"/>
      <c r="Y11" s="74"/>
      <c r="Z11" s="73"/>
      <c r="AA11" s="53"/>
      <c r="AB11" s="51">
        <f>Y11*AA11</f>
        <v>0</v>
      </c>
      <c r="AC11" s="544"/>
      <c r="AD11" s="55" t="s">
        <v>221</v>
      </c>
      <c r="AE11" s="55">
        <v>0.5</v>
      </c>
      <c r="AF11" s="74" t="s">
        <v>21</v>
      </c>
      <c r="AG11" s="93" t="s">
        <v>0</v>
      </c>
      <c r="AH11" s="53"/>
      <c r="AI11" s="175"/>
      <c r="AJ11" s="51"/>
    </row>
    <row r="12" spans="1:36" s="49" customFormat="1" ht="18.75" customHeight="1">
      <c r="A12" s="464"/>
      <c r="B12" s="23" t="s">
        <v>259</v>
      </c>
      <c r="C12" s="23">
        <v>40</v>
      </c>
      <c r="D12" s="74">
        <f>ROUND($AF$1*C12/1000,0)</f>
        <v>3</v>
      </c>
      <c r="E12" s="73" t="s">
        <v>19</v>
      </c>
      <c r="F12" s="152"/>
      <c r="G12" s="51"/>
      <c r="H12" s="464"/>
      <c r="I12" s="23"/>
      <c r="J12" s="23"/>
      <c r="K12" s="23"/>
      <c r="L12" s="23"/>
      <c r="M12" s="190"/>
      <c r="N12" s="51"/>
      <c r="O12" s="542"/>
      <c r="P12" s="55" t="s">
        <v>70</v>
      </c>
      <c r="Q12" s="55">
        <v>6</v>
      </c>
      <c r="R12" s="74">
        <f>ROUND($AF$1*Q12/1000,1)</f>
        <v>0.4</v>
      </c>
      <c r="S12" s="93" t="s">
        <v>0</v>
      </c>
      <c r="T12" s="53"/>
      <c r="U12" s="51">
        <f>R12*T12</f>
        <v>0</v>
      </c>
      <c r="V12" s="464"/>
      <c r="W12" s="28"/>
      <c r="X12" s="29"/>
      <c r="Y12" s="74"/>
      <c r="Z12" s="73"/>
      <c r="AA12" s="53"/>
      <c r="AB12" s="51">
        <f>Y12*AA12</f>
        <v>0</v>
      </c>
      <c r="AC12" s="544"/>
      <c r="AD12" s="55" t="s">
        <v>222</v>
      </c>
      <c r="AE12" s="55">
        <v>25</v>
      </c>
      <c r="AF12" s="74">
        <f t="shared" si="3"/>
        <v>1.9</v>
      </c>
      <c r="AG12" s="93" t="s">
        <v>0</v>
      </c>
      <c r="AH12" s="53"/>
      <c r="AI12" s="175">
        <f t="shared" si="2"/>
        <v>0</v>
      </c>
      <c r="AJ12" s="51"/>
    </row>
    <row r="13" spans="1:36" s="49" customFormat="1" ht="18.75" customHeight="1">
      <c r="A13" s="464"/>
      <c r="B13" s="56"/>
      <c r="C13" s="23"/>
      <c r="D13" s="92"/>
      <c r="E13" s="93"/>
      <c r="F13" s="152"/>
      <c r="G13" s="51"/>
      <c r="H13" s="464"/>
      <c r="I13" s="56"/>
      <c r="J13" s="23"/>
      <c r="K13" s="92"/>
      <c r="L13" s="92"/>
      <c r="M13" s="190"/>
      <c r="N13" s="51"/>
      <c r="O13" s="542"/>
      <c r="P13" s="55" t="s">
        <v>80</v>
      </c>
      <c r="Q13" s="55">
        <v>0.5</v>
      </c>
      <c r="R13" s="74" t="s">
        <v>21</v>
      </c>
      <c r="S13" s="93" t="s">
        <v>0</v>
      </c>
      <c r="T13" s="53"/>
      <c r="U13" s="48"/>
      <c r="V13" s="464"/>
      <c r="W13" s="30"/>
      <c r="X13" s="30"/>
      <c r="Y13" s="26"/>
      <c r="Z13" s="27"/>
      <c r="AA13" s="53"/>
      <c r="AB13" s="51"/>
      <c r="AC13" s="544"/>
      <c r="AD13" s="55" t="s">
        <v>223</v>
      </c>
      <c r="AE13" s="55">
        <v>2.5</v>
      </c>
      <c r="AF13" s="74">
        <f t="shared" si="3"/>
        <v>0.2</v>
      </c>
      <c r="AG13" s="93" t="s">
        <v>0</v>
      </c>
      <c r="AH13" s="53"/>
      <c r="AI13" s="175">
        <f t="shared" si="2"/>
        <v>0</v>
      </c>
      <c r="AJ13" s="51"/>
    </row>
    <row r="14" spans="1:36" s="49" customFormat="1" ht="18.75" customHeight="1">
      <c r="A14" s="464"/>
      <c r="B14" s="23"/>
      <c r="C14" s="23"/>
      <c r="D14" s="92"/>
      <c r="E14" s="93"/>
      <c r="F14" s="152"/>
      <c r="G14" s="51"/>
      <c r="H14" s="464"/>
      <c r="I14" s="23"/>
      <c r="J14" s="23"/>
      <c r="K14" s="92"/>
      <c r="L14" s="93"/>
      <c r="M14" s="53"/>
      <c r="N14" s="51"/>
      <c r="O14" s="542"/>
      <c r="P14" s="23"/>
      <c r="Q14" s="23"/>
      <c r="R14" s="92"/>
      <c r="S14" s="93"/>
      <c r="T14" s="53"/>
      <c r="U14" s="48"/>
      <c r="V14" s="464"/>
      <c r="W14" s="215"/>
      <c r="X14" s="30"/>
      <c r="Y14" s="26"/>
      <c r="Z14" s="27"/>
      <c r="AA14" s="53"/>
      <c r="AB14" s="51"/>
      <c r="AC14" s="544"/>
      <c r="AD14" s="143" t="s">
        <v>224</v>
      </c>
      <c r="AE14" s="143">
        <v>14</v>
      </c>
      <c r="AF14" s="74">
        <f t="shared" si="3"/>
        <v>1</v>
      </c>
      <c r="AG14" s="93" t="s">
        <v>0</v>
      </c>
      <c r="AH14" s="53"/>
      <c r="AI14" s="175">
        <f t="shared" si="2"/>
        <v>0</v>
      </c>
      <c r="AJ14" s="51"/>
    </row>
    <row r="15" spans="1:36" s="49" customFormat="1" ht="18.75" customHeight="1">
      <c r="A15" s="464"/>
      <c r="B15" s="23"/>
      <c r="C15" s="23"/>
      <c r="D15" s="92"/>
      <c r="E15" s="93"/>
      <c r="F15" s="152"/>
      <c r="G15" s="51"/>
      <c r="H15" s="464"/>
      <c r="I15" s="23"/>
      <c r="J15" s="23"/>
      <c r="K15" s="92"/>
      <c r="L15" s="93"/>
      <c r="M15" s="53"/>
      <c r="N15" s="51"/>
      <c r="O15" s="542"/>
      <c r="P15" s="23"/>
      <c r="Q15" s="23"/>
      <c r="R15" s="92"/>
      <c r="S15" s="93"/>
      <c r="T15" s="53"/>
      <c r="U15" s="48"/>
      <c r="V15" s="464"/>
      <c r="W15" s="215"/>
      <c r="X15" s="30"/>
      <c r="Y15" s="26"/>
      <c r="Z15" s="27"/>
      <c r="AA15" s="53"/>
      <c r="AB15" s="51"/>
      <c r="AC15" s="544"/>
      <c r="AD15" s="216"/>
      <c r="AE15" s="216"/>
      <c r="AF15" s="74"/>
      <c r="AG15" s="93"/>
      <c r="AH15" s="53"/>
      <c r="AI15" s="175">
        <f t="shared" si="2"/>
        <v>0</v>
      </c>
      <c r="AJ15" s="51"/>
    </row>
    <row r="16" spans="1:45" s="40" customFormat="1" ht="18.75" customHeight="1">
      <c r="A16" s="464"/>
      <c r="B16" s="23"/>
      <c r="C16" s="23"/>
      <c r="D16" s="92"/>
      <c r="E16" s="93"/>
      <c r="F16" s="152"/>
      <c r="G16" s="51"/>
      <c r="H16" s="464"/>
      <c r="I16" s="23"/>
      <c r="J16" s="23"/>
      <c r="K16" s="92"/>
      <c r="L16" s="93"/>
      <c r="M16" s="53"/>
      <c r="N16" s="51">
        <f>K16*M16</f>
        <v>0</v>
      </c>
      <c r="O16" s="542"/>
      <c r="P16" s="23"/>
      <c r="Q16" s="23"/>
      <c r="R16" s="92"/>
      <c r="S16" s="93"/>
      <c r="T16" s="53"/>
      <c r="U16" s="48">
        <f>R16*T16</f>
        <v>0</v>
      </c>
      <c r="V16" s="464"/>
      <c r="W16" s="24"/>
      <c r="X16" s="24"/>
      <c r="Y16" s="26"/>
      <c r="Z16" s="27"/>
      <c r="AA16" s="53"/>
      <c r="AB16" s="51">
        <f>Y12*AA16</f>
        <v>0</v>
      </c>
      <c r="AC16" s="545"/>
      <c r="AD16" s="217"/>
      <c r="AE16" s="218"/>
      <c r="AF16" s="92"/>
      <c r="AG16" s="93"/>
      <c r="AH16" s="53"/>
      <c r="AI16" s="175">
        <f t="shared" si="2"/>
        <v>0</v>
      </c>
      <c r="AJ16" s="51"/>
      <c r="AO16" s="463" t="s">
        <v>225</v>
      </c>
      <c r="AP16" s="59" t="s">
        <v>226</v>
      </c>
      <c r="AQ16" s="51">
        <v>10</v>
      </c>
      <c r="AR16" s="51" t="s">
        <v>21</v>
      </c>
      <c r="AS16" s="60" t="s">
        <v>48</v>
      </c>
    </row>
    <row r="17" spans="1:45" s="49" customFormat="1" ht="18.75" customHeight="1">
      <c r="A17" s="398" t="s">
        <v>10</v>
      </c>
      <c r="B17" s="398"/>
      <c r="C17" s="398"/>
      <c r="D17" s="398"/>
      <c r="E17" s="398"/>
      <c r="F17" s="86"/>
      <c r="G17" s="87"/>
      <c r="H17" s="398" t="s">
        <v>39</v>
      </c>
      <c r="I17" s="398"/>
      <c r="J17" s="398"/>
      <c r="K17" s="398"/>
      <c r="L17" s="398"/>
      <c r="M17" s="47"/>
      <c r="N17" s="88"/>
      <c r="O17" s="398" t="s">
        <v>39</v>
      </c>
      <c r="P17" s="398"/>
      <c r="Q17" s="398"/>
      <c r="R17" s="398"/>
      <c r="S17" s="398"/>
      <c r="T17" s="47"/>
      <c r="U17" s="88"/>
      <c r="V17" s="398" t="s">
        <v>39</v>
      </c>
      <c r="W17" s="398"/>
      <c r="X17" s="398"/>
      <c r="Y17" s="398"/>
      <c r="Z17" s="398"/>
      <c r="AA17" s="47"/>
      <c r="AB17" s="88"/>
      <c r="AC17" s="398" t="s">
        <v>10</v>
      </c>
      <c r="AD17" s="398"/>
      <c r="AE17" s="398"/>
      <c r="AF17" s="398"/>
      <c r="AG17" s="398"/>
      <c r="AH17" s="47"/>
      <c r="AI17" s="175">
        <f t="shared" si="2"/>
        <v>0</v>
      </c>
      <c r="AJ17" s="47"/>
      <c r="AO17" s="464"/>
      <c r="AP17" s="59" t="s">
        <v>14</v>
      </c>
      <c r="AQ17" s="51">
        <v>100</v>
      </c>
      <c r="AR17" s="74">
        <v>3</v>
      </c>
      <c r="AS17" s="60" t="s">
        <v>48</v>
      </c>
    </row>
    <row r="18" spans="1:45" s="49" customFormat="1" ht="18.75" customHeight="1">
      <c r="A18" s="549" t="s">
        <v>294</v>
      </c>
      <c r="B18" s="23" t="s">
        <v>163</v>
      </c>
      <c r="C18" s="23">
        <v>2.6</v>
      </c>
      <c r="D18" s="74">
        <f>ROUND($AE$1*C18/200,1)</f>
        <v>1</v>
      </c>
      <c r="E18" s="347" t="s">
        <v>20</v>
      </c>
      <c r="F18" s="152"/>
      <c r="G18" s="51">
        <f>D18*F18</f>
        <v>0</v>
      </c>
      <c r="H18" s="463" t="s">
        <v>42</v>
      </c>
      <c r="I18" s="29" t="s">
        <v>59</v>
      </c>
      <c r="J18" s="57">
        <v>41</v>
      </c>
      <c r="K18" s="74">
        <f>ROUND($AE$1*J18/1000,1)</f>
        <v>3</v>
      </c>
      <c r="L18" s="94" t="s">
        <v>0</v>
      </c>
      <c r="M18" s="190"/>
      <c r="N18" s="51"/>
      <c r="O18" s="516" t="s">
        <v>228</v>
      </c>
      <c r="P18" s="58" t="s">
        <v>229</v>
      </c>
      <c r="Q18" s="58">
        <v>1</v>
      </c>
      <c r="R18" s="74">
        <f>ROUND($AF$1*Q18,1)</f>
        <v>74</v>
      </c>
      <c r="S18" s="73" t="s">
        <v>230</v>
      </c>
      <c r="T18" s="53"/>
      <c r="U18" s="51">
        <f>R18*T18</f>
        <v>0</v>
      </c>
      <c r="V18" s="466" t="s">
        <v>227</v>
      </c>
      <c r="W18" s="77" t="s">
        <v>59</v>
      </c>
      <c r="X18" s="57">
        <v>41</v>
      </c>
      <c r="Y18" s="74">
        <f>ROUND($AE$1*X18/1000,1)</f>
        <v>3</v>
      </c>
      <c r="Z18" s="93" t="s">
        <v>0</v>
      </c>
      <c r="AA18" s="53"/>
      <c r="AB18" s="51">
        <f>Y18*AA18</f>
        <v>0</v>
      </c>
      <c r="AC18" s="463" t="s">
        <v>231</v>
      </c>
      <c r="AD18" s="59" t="s">
        <v>226</v>
      </c>
      <c r="AE18" s="51">
        <v>10</v>
      </c>
      <c r="AF18" s="51" t="s">
        <v>21</v>
      </c>
      <c r="AG18" s="60" t="s">
        <v>48</v>
      </c>
      <c r="AH18" s="53"/>
      <c r="AI18" s="175" t="e">
        <f t="shared" si="2"/>
        <v>#VALUE!</v>
      </c>
      <c r="AJ18" s="51"/>
      <c r="AO18" s="464"/>
      <c r="AP18" s="194" t="s">
        <v>167</v>
      </c>
      <c r="AQ18" s="61">
        <v>5.5</v>
      </c>
      <c r="AR18" s="23">
        <f>ROUND($AE$1*AQ18/300,1)</f>
        <v>1.4</v>
      </c>
      <c r="AS18" s="159" t="s">
        <v>22</v>
      </c>
    </row>
    <row r="19" spans="1:45" s="49" customFormat="1" ht="18.75" customHeight="1">
      <c r="A19" s="550"/>
      <c r="B19" s="192" t="s">
        <v>164</v>
      </c>
      <c r="C19" s="193"/>
      <c r="D19" s="92"/>
      <c r="E19" s="92"/>
      <c r="F19" s="152"/>
      <c r="G19" s="51">
        <f aca="true" t="shared" si="4" ref="G19:G25">D19*F19</f>
        <v>0</v>
      </c>
      <c r="H19" s="464"/>
      <c r="I19" s="29" t="s">
        <v>171</v>
      </c>
      <c r="J19" s="57">
        <v>41</v>
      </c>
      <c r="K19" s="74">
        <f>ROUND($AE$1*J19/1000,1)</f>
        <v>3</v>
      </c>
      <c r="L19" s="73" t="s">
        <v>0</v>
      </c>
      <c r="M19" s="190"/>
      <c r="N19" s="51"/>
      <c r="O19" s="516"/>
      <c r="P19" s="52"/>
      <c r="Q19" s="29"/>
      <c r="R19" s="74"/>
      <c r="S19" s="73"/>
      <c r="T19" s="53"/>
      <c r="U19" s="51">
        <f>R19*T19</f>
        <v>0</v>
      </c>
      <c r="V19" s="467"/>
      <c r="W19" s="77" t="s">
        <v>94</v>
      </c>
      <c r="X19" s="57">
        <v>41</v>
      </c>
      <c r="Y19" s="74">
        <f>ROUND($AE$1*X19/1000,1)</f>
        <v>3</v>
      </c>
      <c r="Z19" s="93" t="s">
        <v>0</v>
      </c>
      <c r="AA19" s="53"/>
      <c r="AB19" s="51">
        <f>Y19*AA19</f>
        <v>0</v>
      </c>
      <c r="AC19" s="464"/>
      <c r="AD19" s="239" t="s">
        <v>240</v>
      </c>
      <c r="AE19" s="51">
        <v>100</v>
      </c>
      <c r="AF19" s="51" t="s">
        <v>21</v>
      </c>
      <c r="AG19" s="60" t="s">
        <v>48</v>
      </c>
      <c r="AH19" s="53"/>
      <c r="AI19" s="175" t="e">
        <f t="shared" si="2"/>
        <v>#VALUE!</v>
      </c>
      <c r="AJ19" s="51"/>
      <c r="AO19" s="464"/>
      <c r="AP19" s="23"/>
      <c r="AQ19" s="23"/>
      <c r="AR19" s="92"/>
      <c r="AS19" s="93"/>
    </row>
    <row r="20" spans="1:45" s="49" customFormat="1" ht="18.75" customHeight="1">
      <c r="A20" s="550"/>
      <c r="B20" s="23" t="s">
        <v>170</v>
      </c>
      <c r="C20" s="23">
        <v>15</v>
      </c>
      <c r="D20" s="74" t="s">
        <v>137</v>
      </c>
      <c r="E20" s="74" t="s">
        <v>0</v>
      </c>
      <c r="F20" s="152"/>
      <c r="G20" s="51"/>
      <c r="H20" s="464"/>
      <c r="I20" s="28" t="s">
        <v>186</v>
      </c>
      <c r="J20" s="57">
        <v>41</v>
      </c>
      <c r="K20" s="74">
        <f>ROUND($AE$1*J20/1000,1)</f>
        <v>3</v>
      </c>
      <c r="L20" s="73" t="s">
        <v>0</v>
      </c>
      <c r="M20" s="190"/>
      <c r="N20" s="51">
        <f>K20*M20</f>
        <v>0</v>
      </c>
      <c r="O20" s="516"/>
      <c r="P20" s="29"/>
      <c r="Q20" s="29"/>
      <c r="R20" s="74"/>
      <c r="S20" s="73"/>
      <c r="T20" s="53"/>
      <c r="U20" s="51">
        <f>R20*T20</f>
        <v>0</v>
      </c>
      <c r="V20" s="467"/>
      <c r="W20" s="77" t="s">
        <v>187</v>
      </c>
      <c r="X20" s="57">
        <v>41</v>
      </c>
      <c r="Y20" s="74">
        <f>ROUND($AE$1*X20/1000,1)</f>
        <v>3</v>
      </c>
      <c r="Z20" s="93" t="s">
        <v>0</v>
      </c>
      <c r="AA20" s="53"/>
      <c r="AB20" s="51">
        <f>Y20*AA20</f>
        <v>0</v>
      </c>
      <c r="AC20" s="464"/>
      <c r="AD20" s="233" t="s">
        <v>253</v>
      </c>
      <c r="AE20" s="61"/>
      <c r="AF20" s="23"/>
      <c r="AG20" s="25"/>
      <c r="AH20" s="53"/>
      <c r="AI20" s="175">
        <f t="shared" si="2"/>
        <v>0</v>
      </c>
      <c r="AJ20" s="51"/>
      <c r="AO20" s="464"/>
      <c r="AP20" s="59"/>
      <c r="AQ20" s="51"/>
      <c r="AR20" s="51"/>
      <c r="AS20" s="60"/>
    </row>
    <row r="21" spans="1:45" s="49" customFormat="1" ht="18.75" customHeight="1">
      <c r="A21" s="550"/>
      <c r="B21" s="23" t="s">
        <v>23</v>
      </c>
      <c r="C21" s="23">
        <v>14</v>
      </c>
      <c r="D21" s="23">
        <f>ROUND($AE$1*C21/1000,1)</f>
        <v>1</v>
      </c>
      <c r="E21" s="74" t="s">
        <v>0</v>
      </c>
      <c r="F21" s="152"/>
      <c r="G21" s="51">
        <f t="shared" si="4"/>
        <v>0</v>
      </c>
      <c r="H21" s="464"/>
      <c r="I21" s="23"/>
      <c r="J21" s="23"/>
      <c r="K21" s="92"/>
      <c r="L21" s="93"/>
      <c r="M21" s="190"/>
      <c r="N21" s="51"/>
      <c r="O21" s="516"/>
      <c r="P21" s="29" t="s">
        <v>59</v>
      </c>
      <c r="Q21" s="58">
        <v>62</v>
      </c>
      <c r="R21" s="74">
        <f>ROUND($AF$1*Q21/1000,1)</f>
        <v>4.6</v>
      </c>
      <c r="S21" s="74" t="s">
        <v>0</v>
      </c>
      <c r="T21" s="190"/>
      <c r="U21" s="51">
        <f>R21*T21</f>
        <v>0</v>
      </c>
      <c r="V21" s="467"/>
      <c r="W21" s="55"/>
      <c r="X21" s="55"/>
      <c r="Y21" s="92"/>
      <c r="Z21" s="93"/>
      <c r="AA21" s="53"/>
      <c r="AB21" s="51"/>
      <c r="AC21" s="464"/>
      <c r="AD21" s="23" t="s">
        <v>172</v>
      </c>
      <c r="AE21" s="23">
        <v>80.5</v>
      </c>
      <c r="AF21" s="74">
        <f>ROUND($AF$1*AE21/1000,1)</f>
        <v>6</v>
      </c>
      <c r="AG21" s="93" t="s">
        <v>0</v>
      </c>
      <c r="AH21" s="53"/>
      <c r="AI21" s="175">
        <f t="shared" si="2"/>
        <v>0</v>
      </c>
      <c r="AJ21" s="51"/>
      <c r="AO21" s="464"/>
      <c r="AP21" s="23"/>
      <c r="AQ21" s="23"/>
      <c r="AR21" s="92"/>
      <c r="AS21" s="93"/>
    </row>
    <row r="22" spans="1:45" s="49" customFormat="1" ht="18.75" customHeight="1">
      <c r="A22" s="550"/>
      <c r="B22" s="23" t="s">
        <v>64</v>
      </c>
      <c r="C22" s="23">
        <v>8</v>
      </c>
      <c r="D22" s="23">
        <f>ROUND($AE$1*C22/1000,1)</f>
        <v>0.6</v>
      </c>
      <c r="E22" s="74" t="s">
        <v>0</v>
      </c>
      <c r="F22" s="152"/>
      <c r="G22" s="51">
        <f t="shared" si="4"/>
        <v>0</v>
      </c>
      <c r="H22" s="464"/>
      <c r="I22" s="59" t="s">
        <v>175</v>
      </c>
      <c r="J22" s="51">
        <v>120</v>
      </c>
      <c r="K22" s="74">
        <f>ROUND($AE$1*J22/1000,0)</f>
        <v>9</v>
      </c>
      <c r="L22" s="60" t="s">
        <v>48</v>
      </c>
      <c r="M22" s="53"/>
      <c r="N22" s="51"/>
      <c r="O22" s="516"/>
      <c r="P22" s="29"/>
      <c r="Q22" s="29"/>
      <c r="R22" s="74"/>
      <c r="S22" s="73"/>
      <c r="T22" s="53"/>
      <c r="U22" s="51"/>
      <c r="V22" s="467"/>
      <c r="W22" s="239" t="s">
        <v>240</v>
      </c>
      <c r="X22" s="231">
        <v>120</v>
      </c>
      <c r="Y22" s="232" t="s">
        <v>21</v>
      </c>
      <c r="Z22" s="77" t="s">
        <v>48</v>
      </c>
      <c r="AA22" s="190"/>
      <c r="AB22" s="51"/>
      <c r="AC22" s="464"/>
      <c r="AD22" s="59"/>
      <c r="AE22" s="51"/>
      <c r="AF22" s="51"/>
      <c r="AG22" s="60"/>
      <c r="AH22" s="53"/>
      <c r="AI22" s="175">
        <f t="shared" si="2"/>
        <v>0</v>
      </c>
      <c r="AJ22" s="51"/>
      <c r="AO22" s="464"/>
      <c r="AP22" s="23"/>
      <c r="AQ22" s="23"/>
      <c r="AR22" s="92"/>
      <c r="AS22" s="93"/>
    </row>
    <row r="23" spans="1:45" s="49" customFormat="1" ht="18.75" customHeight="1" thickBot="1">
      <c r="A23" s="550"/>
      <c r="B23" s="23" t="s">
        <v>132</v>
      </c>
      <c r="C23" s="23">
        <v>8</v>
      </c>
      <c r="D23" s="23">
        <f>ROUND($AE$1*C23/1000,1)</f>
        <v>0.6</v>
      </c>
      <c r="E23" s="74" t="s">
        <v>0</v>
      </c>
      <c r="F23" s="152"/>
      <c r="G23" s="51">
        <f t="shared" si="4"/>
        <v>0</v>
      </c>
      <c r="H23" s="464"/>
      <c r="I23" s="23"/>
      <c r="J23" s="23"/>
      <c r="K23" s="92"/>
      <c r="L23" s="93"/>
      <c r="M23" s="53"/>
      <c r="N23" s="51"/>
      <c r="O23" s="516"/>
      <c r="P23" s="546"/>
      <c r="Q23" s="547"/>
      <c r="R23" s="547"/>
      <c r="S23" s="548"/>
      <c r="T23" s="53"/>
      <c r="U23" s="51"/>
      <c r="V23" s="467"/>
      <c r="W23" s="233" t="s">
        <v>251</v>
      </c>
      <c r="X23" s="151"/>
      <c r="Y23" s="92"/>
      <c r="Z23" s="93"/>
      <c r="AA23" s="53"/>
      <c r="AB23" s="51"/>
      <c r="AC23" s="464"/>
      <c r="AD23" s="23"/>
      <c r="AE23" s="23"/>
      <c r="AF23" s="92"/>
      <c r="AG23" s="93"/>
      <c r="AH23" s="53"/>
      <c r="AI23" s="175">
        <f t="shared" si="2"/>
        <v>0</v>
      </c>
      <c r="AJ23" s="51"/>
      <c r="AO23" s="489"/>
      <c r="AP23" s="23"/>
      <c r="AQ23" s="23"/>
      <c r="AR23" s="92"/>
      <c r="AS23" s="93"/>
    </row>
    <row r="24" spans="1:36" s="49" customFormat="1" ht="18.75" customHeight="1">
      <c r="A24" s="550"/>
      <c r="B24" s="23" t="s">
        <v>153</v>
      </c>
      <c r="C24" s="23">
        <v>20</v>
      </c>
      <c r="D24" s="23">
        <f>ROUND($AE$1*C24/1000,1)</f>
        <v>1.5</v>
      </c>
      <c r="E24" s="74" t="s">
        <v>0</v>
      </c>
      <c r="F24" s="152"/>
      <c r="G24" s="51">
        <f t="shared" si="4"/>
        <v>0</v>
      </c>
      <c r="H24" s="464"/>
      <c r="I24" s="23"/>
      <c r="J24" s="23"/>
      <c r="K24" s="92"/>
      <c r="L24" s="93"/>
      <c r="M24" s="53"/>
      <c r="N24" s="51"/>
      <c r="O24" s="516"/>
      <c r="P24" s="58"/>
      <c r="Q24" s="58"/>
      <c r="R24" s="74"/>
      <c r="S24" s="73"/>
      <c r="T24" s="53"/>
      <c r="U24" s="51"/>
      <c r="V24" s="467"/>
      <c r="W24" s="55"/>
      <c r="X24" s="55"/>
      <c r="Y24" s="92"/>
      <c r="Z24" s="93"/>
      <c r="AA24" s="53"/>
      <c r="AB24" s="51"/>
      <c r="AC24" s="464"/>
      <c r="AD24" s="23"/>
      <c r="AE24" s="23"/>
      <c r="AF24" s="92"/>
      <c r="AG24" s="93"/>
      <c r="AH24" s="53"/>
      <c r="AI24" s="175">
        <f t="shared" si="2"/>
        <v>0</v>
      </c>
      <c r="AJ24" s="51"/>
    </row>
    <row r="25" spans="1:36" s="49" customFormat="1" ht="18.75" customHeight="1" thickBot="1">
      <c r="A25" s="551"/>
      <c r="B25" s="23" t="s">
        <v>124</v>
      </c>
      <c r="C25" s="23">
        <v>11</v>
      </c>
      <c r="D25" s="23">
        <f>ROUND($AE$1*C25/400,1)</f>
        <v>2</v>
      </c>
      <c r="E25" s="74" t="s">
        <v>22</v>
      </c>
      <c r="F25" s="198"/>
      <c r="G25" s="51">
        <f t="shared" si="4"/>
        <v>0</v>
      </c>
      <c r="H25" s="489"/>
      <c r="I25" s="176"/>
      <c r="J25" s="176"/>
      <c r="K25" s="177"/>
      <c r="L25" s="178"/>
      <c r="M25" s="219"/>
      <c r="N25" s="166">
        <f>K25*M25</f>
        <v>0</v>
      </c>
      <c r="O25" s="468"/>
      <c r="P25" s="144"/>
      <c r="Q25" s="144"/>
      <c r="R25" s="145"/>
      <c r="S25" s="164"/>
      <c r="T25" s="219"/>
      <c r="U25" s="166">
        <f>R25*T25</f>
        <v>0</v>
      </c>
      <c r="V25" s="467"/>
      <c r="W25" s="220"/>
      <c r="X25" s="220"/>
      <c r="Y25" s="221"/>
      <c r="Z25" s="222"/>
      <c r="AA25" s="219"/>
      <c r="AB25" s="166">
        <f>Y25*AA25</f>
        <v>0</v>
      </c>
      <c r="AC25" s="464"/>
      <c r="AD25" s="223"/>
      <c r="AE25" s="223"/>
      <c r="AF25" s="221"/>
      <c r="AG25" s="222"/>
      <c r="AH25" s="219"/>
      <c r="AI25" s="175">
        <f t="shared" si="2"/>
        <v>0</v>
      </c>
      <c r="AJ25" s="51"/>
    </row>
    <row r="26" spans="1:38" s="40" customFormat="1" ht="18.75" customHeight="1">
      <c r="A26" s="453" t="s">
        <v>81</v>
      </c>
      <c r="B26" s="96" t="s">
        <v>82</v>
      </c>
      <c r="C26" s="380">
        <v>2.5</v>
      </c>
      <c r="D26" s="380"/>
      <c r="E26" s="381"/>
      <c r="F26" s="426" t="e">
        <f>SUM(#REF!)</f>
        <v>#REF!</v>
      </c>
      <c r="G26" s="426"/>
      <c r="H26" s="423" t="s">
        <v>81</v>
      </c>
      <c r="I26" s="96" t="s">
        <v>82</v>
      </c>
      <c r="J26" s="380">
        <v>1.8</v>
      </c>
      <c r="K26" s="380"/>
      <c r="L26" s="381"/>
      <c r="M26" s="426">
        <f>SUM(N6:N25)</f>
        <v>0</v>
      </c>
      <c r="N26" s="458"/>
      <c r="O26" s="459" t="s">
        <v>81</v>
      </c>
      <c r="P26" s="96" t="s">
        <v>82</v>
      </c>
      <c r="Q26" s="380">
        <v>2</v>
      </c>
      <c r="R26" s="380"/>
      <c r="S26" s="381"/>
      <c r="T26" s="426" t="e">
        <f>SUM(U6:U25)</f>
        <v>#VALUE!</v>
      </c>
      <c r="U26" s="458"/>
      <c r="V26" s="423" t="s">
        <v>81</v>
      </c>
      <c r="W26" s="96" t="s">
        <v>82</v>
      </c>
      <c r="X26" s="380">
        <v>2</v>
      </c>
      <c r="Y26" s="380"/>
      <c r="Z26" s="381"/>
      <c r="AA26" s="426">
        <f>SUM(AB6:AB25)</f>
        <v>0</v>
      </c>
      <c r="AB26" s="458"/>
      <c r="AC26" s="459" t="s">
        <v>81</v>
      </c>
      <c r="AD26" s="96" t="s">
        <v>82</v>
      </c>
      <c r="AE26" s="380">
        <v>2</v>
      </c>
      <c r="AF26" s="380"/>
      <c r="AG26" s="399"/>
      <c r="AH26" s="457" t="e">
        <f>SUM(AI6:AI25)</f>
        <v>#VALUE!</v>
      </c>
      <c r="AI26" s="458"/>
      <c r="AK26" s="122">
        <f aca="true" t="shared" si="5" ref="AK26:AK32">(C26+J26+Q26+X26+AE26)/5</f>
        <v>2.06</v>
      </c>
      <c r="AL26" s="122">
        <f aca="true" t="shared" si="6" ref="AL26:AL31">(AE26+X26+Q26+J26+C26)/5</f>
        <v>2.06</v>
      </c>
    </row>
    <row r="27" spans="1:38" s="40" customFormat="1" ht="18.75" customHeight="1">
      <c r="A27" s="454"/>
      <c r="B27" s="98" t="s">
        <v>83</v>
      </c>
      <c r="C27" s="382">
        <v>0.7</v>
      </c>
      <c r="D27" s="382"/>
      <c r="E27" s="383"/>
      <c r="F27" s="99"/>
      <c r="G27" s="100"/>
      <c r="H27" s="424"/>
      <c r="I27" s="98" t="s">
        <v>83</v>
      </c>
      <c r="J27" s="382">
        <v>0.7</v>
      </c>
      <c r="K27" s="382"/>
      <c r="L27" s="383"/>
      <c r="M27" s="101"/>
      <c r="N27" s="100"/>
      <c r="O27" s="460"/>
      <c r="P27" s="98" t="s">
        <v>83</v>
      </c>
      <c r="Q27" s="382">
        <v>0.5</v>
      </c>
      <c r="R27" s="382"/>
      <c r="S27" s="383"/>
      <c r="T27" s="101"/>
      <c r="U27" s="102"/>
      <c r="V27" s="424"/>
      <c r="W27" s="98" t="s">
        <v>83</v>
      </c>
      <c r="X27" s="382">
        <v>0.5</v>
      </c>
      <c r="Y27" s="382"/>
      <c r="Z27" s="383"/>
      <c r="AA27" s="103"/>
      <c r="AB27" s="100"/>
      <c r="AC27" s="460"/>
      <c r="AD27" s="98" t="s">
        <v>83</v>
      </c>
      <c r="AE27" s="382">
        <v>0.5</v>
      </c>
      <c r="AF27" s="382"/>
      <c r="AG27" s="384"/>
      <c r="AH27" s="104"/>
      <c r="AI27" s="105"/>
      <c r="AK27" s="122">
        <f t="shared" si="5"/>
        <v>0.58</v>
      </c>
      <c r="AL27" s="122">
        <f t="shared" si="6"/>
        <v>0.5800000000000001</v>
      </c>
    </row>
    <row r="28" spans="1:38" s="40" customFormat="1" ht="18.75" customHeight="1">
      <c r="A28" s="454"/>
      <c r="B28" s="106" t="s">
        <v>86</v>
      </c>
      <c r="C28" s="382">
        <v>0.5</v>
      </c>
      <c r="D28" s="382"/>
      <c r="E28" s="383"/>
      <c r="F28" s="99"/>
      <c r="G28" s="100"/>
      <c r="H28" s="424"/>
      <c r="I28" s="106" t="s">
        <v>86</v>
      </c>
      <c r="J28" s="382">
        <v>0.3</v>
      </c>
      <c r="K28" s="382"/>
      <c r="L28" s="383"/>
      <c r="M28" s="101"/>
      <c r="N28" s="100"/>
      <c r="O28" s="460"/>
      <c r="P28" s="106" t="s">
        <v>86</v>
      </c>
      <c r="Q28" s="382">
        <v>0.6</v>
      </c>
      <c r="R28" s="382"/>
      <c r="S28" s="383"/>
      <c r="T28" s="101"/>
      <c r="U28" s="102"/>
      <c r="V28" s="424"/>
      <c r="W28" s="106" t="s">
        <v>86</v>
      </c>
      <c r="X28" s="382">
        <v>0.3</v>
      </c>
      <c r="Y28" s="382"/>
      <c r="Z28" s="383"/>
      <c r="AA28" s="103"/>
      <c r="AB28" s="100"/>
      <c r="AC28" s="460"/>
      <c r="AD28" s="106" t="s">
        <v>86</v>
      </c>
      <c r="AE28" s="382">
        <v>0.6</v>
      </c>
      <c r="AF28" s="382"/>
      <c r="AG28" s="384"/>
      <c r="AH28" s="104"/>
      <c r="AI28" s="105"/>
      <c r="AK28" s="122">
        <f t="shared" si="5"/>
        <v>0.45999999999999996</v>
      </c>
      <c r="AL28" s="122">
        <f t="shared" si="6"/>
        <v>0.45999999999999996</v>
      </c>
    </row>
    <row r="29" spans="1:38" s="40" customFormat="1" ht="18.75" customHeight="1">
      <c r="A29" s="454"/>
      <c r="B29" s="107" t="s">
        <v>84</v>
      </c>
      <c r="C29" s="382">
        <v>0.5</v>
      </c>
      <c r="D29" s="382"/>
      <c r="E29" s="383"/>
      <c r="F29" s="99"/>
      <c r="G29" s="100"/>
      <c r="H29" s="424"/>
      <c r="I29" s="107" t="s">
        <v>84</v>
      </c>
      <c r="J29" s="382">
        <v>0.5</v>
      </c>
      <c r="K29" s="382"/>
      <c r="L29" s="383"/>
      <c r="M29" s="101"/>
      <c r="N29" s="100"/>
      <c r="O29" s="460"/>
      <c r="P29" s="107" t="s">
        <v>84</v>
      </c>
      <c r="Q29" s="382">
        <v>0.5</v>
      </c>
      <c r="R29" s="382"/>
      <c r="S29" s="383"/>
      <c r="T29" s="101"/>
      <c r="U29" s="102"/>
      <c r="V29" s="424"/>
      <c r="W29" s="107" t="s">
        <v>85</v>
      </c>
      <c r="X29" s="382">
        <v>0.5</v>
      </c>
      <c r="Y29" s="382"/>
      <c r="Z29" s="383"/>
      <c r="AA29" s="103"/>
      <c r="AB29" s="100"/>
      <c r="AC29" s="460"/>
      <c r="AD29" s="107" t="s">
        <v>84</v>
      </c>
      <c r="AE29" s="382">
        <v>0.5</v>
      </c>
      <c r="AF29" s="382"/>
      <c r="AG29" s="384"/>
      <c r="AH29" s="104"/>
      <c r="AI29" s="105"/>
      <c r="AK29" s="122">
        <f t="shared" si="5"/>
        <v>0.5</v>
      </c>
      <c r="AL29" s="122">
        <f t="shared" si="6"/>
        <v>0.5</v>
      </c>
    </row>
    <row r="30" spans="1:38" s="40" customFormat="1" ht="18.75" customHeight="1">
      <c r="A30" s="454"/>
      <c r="B30" s="98" t="s">
        <v>87</v>
      </c>
      <c r="C30" s="382">
        <v>0</v>
      </c>
      <c r="D30" s="382"/>
      <c r="E30" s="383"/>
      <c r="F30" s="99"/>
      <c r="G30" s="100"/>
      <c r="H30" s="424"/>
      <c r="I30" s="98" t="s">
        <v>87</v>
      </c>
      <c r="J30" s="382">
        <v>1</v>
      </c>
      <c r="K30" s="382"/>
      <c r="L30" s="383"/>
      <c r="M30" s="101"/>
      <c r="N30" s="100"/>
      <c r="O30" s="460"/>
      <c r="P30" s="98" t="s">
        <v>87</v>
      </c>
      <c r="Q30" s="382">
        <v>0.5</v>
      </c>
      <c r="R30" s="382"/>
      <c r="S30" s="383"/>
      <c r="T30" s="101"/>
      <c r="U30" s="102"/>
      <c r="V30" s="424"/>
      <c r="W30" s="98" t="s">
        <v>87</v>
      </c>
      <c r="X30" s="382">
        <v>1</v>
      </c>
      <c r="Y30" s="382"/>
      <c r="Z30" s="383"/>
      <c r="AA30" s="103"/>
      <c r="AB30" s="100"/>
      <c r="AC30" s="460"/>
      <c r="AD30" s="98" t="s">
        <v>87</v>
      </c>
      <c r="AE30" s="382">
        <v>0.5</v>
      </c>
      <c r="AF30" s="382"/>
      <c r="AG30" s="384"/>
      <c r="AH30" s="104"/>
      <c r="AI30" s="105"/>
      <c r="AK30" s="122">
        <f t="shared" si="5"/>
        <v>0.6</v>
      </c>
      <c r="AL30" s="122">
        <f>(AE30+X30+Q30+J30+C30)/5</f>
        <v>0.6</v>
      </c>
    </row>
    <row r="31" spans="1:38" s="40" customFormat="1" ht="18.75" customHeight="1">
      <c r="A31" s="454"/>
      <c r="B31" s="98" t="s">
        <v>88</v>
      </c>
      <c r="C31" s="382">
        <v>0.3</v>
      </c>
      <c r="D31" s="382"/>
      <c r="E31" s="383"/>
      <c r="F31" s="99"/>
      <c r="G31" s="100"/>
      <c r="H31" s="424"/>
      <c r="I31" s="98" t="s">
        <v>88</v>
      </c>
      <c r="J31" s="382">
        <v>0.6</v>
      </c>
      <c r="K31" s="382"/>
      <c r="L31" s="383"/>
      <c r="M31" s="108"/>
      <c r="N31" s="100"/>
      <c r="O31" s="460"/>
      <c r="P31" s="98" t="s">
        <v>88</v>
      </c>
      <c r="Q31" s="382">
        <v>0.5</v>
      </c>
      <c r="R31" s="382"/>
      <c r="S31" s="383"/>
      <c r="T31" s="101"/>
      <c r="U31" s="102"/>
      <c r="V31" s="424"/>
      <c r="W31" s="98" t="s">
        <v>88</v>
      </c>
      <c r="X31" s="382">
        <v>0.6</v>
      </c>
      <c r="Y31" s="382"/>
      <c r="Z31" s="383"/>
      <c r="AA31" s="103"/>
      <c r="AB31" s="100"/>
      <c r="AC31" s="460"/>
      <c r="AD31" s="98" t="s">
        <v>88</v>
      </c>
      <c r="AE31" s="382">
        <v>0.4</v>
      </c>
      <c r="AF31" s="382"/>
      <c r="AG31" s="384"/>
      <c r="AH31" s="104"/>
      <c r="AI31" s="105"/>
      <c r="AJ31" s="40">
        <v>0.2</v>
      </c>
      <c r="AK31" s="122">
        <f t="shared" si="5"/>
        <v>0.48</v>
      </c>
      <c r="AL31" s="122">
        <f t="shared" si="6"/>
        <v>0.48</v>
      </c>
    </row>
    <row r="32" spans="1:38" s="40" customFormat="1" ht="18.75" customHeight="1" thickBot="1">
      <c r="A32" s="455"/>
      <c r="B32" s="109" t="s">
        <v>89</v>
      </c>
      <c r="C32" s="378">
        <f>C26*70+C27*75+C28*25+C29*45+C31*120+C30*60</f>
        <v>298.5</v>
      </c>
      <c r="D32" s="378"/>
      <c r="E32" s="379"/>
      <c r="F32" s="110"/>
      <c r="G32" s="111"/>
      <c r="H32" s="425"/>
      <c r="I32" s="109" t="s">
        <v>89</v>
      </c>
      <c r="J32" s="378">
        <f>J26*70+J27*75+J28*25+J29*45+J31*120+J30*60</f>
        <v>340.5</v>
      </c>
      <c r="K32" s="378"/>
      <c r="L32" s="379"/>
      <c r="M32" s="112"/>
      <c r="N32" s="111"/>
      <c r="O32" s="461"/>
      <c r="P32" s="109" t="s">
        <v>89</v>
      </c>
      <c r="Q32" s="378">
        <f>Q26*70+Q27*75+Q28*25+Q29*45+Q31*120+Q30*60</f>
        <v>305</v>
      </c>
      <c r="R32" s="378"/>
      <c r="S32" s="379"/>
      <c r="T32" s="112"/>
      <c r="U32" s="113"/>
      <c r="V32" s="425"/>
      <c r="W32" s="109" t="s">
        <v>89</v>
      </c>
      <c r="X32" s="378">
        <f>X26*70+X27*75+X28*25+X29*45+X31*120+X30*60</f>
        <v>339.5</v>
      </c>
      <c r="Y32" s="378"/>
      <c r="Z32" s="379"/>
      <c r="AA32" s="114"/>
      <c r="AB32" s="111"/>
      <c r="AC32" s="461"/>
      <c r="AD32" s="109" t="s">
        <v>89</v>
      </c>
      <c r="AE32" s="378">
        <f>AE26*70+AE27*75+AE28*25+AE29*45+AE31*120+AE30*60</f>
        <v>293</v>
      </c>
      <c r="AF32" s="378"/>
      <c r="AG32" s="434"/>
      <c r="AH32" s="115"/>
      <c r="AI32" s="116"/>
      <c r="AK32" s="122">
        <f t="shared" si="5"/>
        <v>315.3</v>
      </c>
      <c r="AL32" s="122">
        <f>(AE32+X32+Q32+J32+C32)/5</f>
        <v>315.3</v>
      </c>
    </row>
    <row r="33" spans="1:36" s="49" customFormat="1" ht="18.75" customHeight="1">
      <c r="A33" s="81"/>
      <c r="B33" s="82"/>
      <c r="C33" s="82"/>
      <c r="D33" s="117"/>
      <c r="E33" s="117"/>
      <c r="F33" s="83"/>
      <c r="G33" s="82"/>
      <c r="H33" s="84"/>
      <c r="I33" s="82"/>
      <c r="J33" s="82"/>
      <c r="K33" s="117"/>
      <c r="L33" s="117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17"/>
      <c r="AG33" s="117"/>
      <c r="AH33" s="83"/>
      <c r="AI33" s="82"/>
      <c r="AJ33" s="82"/>
    </row>
    <row r="34" spans="1:49" s="49" customFormat="1" ht="19.5" customHeight="1">
      <c r="A34" s="456" t="s">
        <v>51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118"/>
      <c r="AJ34" s="62"/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s="49" customFormat="1" ht="22.5" customHeight="1">
      <c r="A35" s="465" t="s">
        <v>62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119"/>
      <c r="AJ35" s="64"/>
      <c r="AK35" s="65"/>
      <c r="AL35" s="65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</sheetData>
  <sheetProtection/>
  <mergeCells count="86">
    <mergeCell ref="A35:AH35"/>
    <mergeCell ref="AH26:AI26"/>
    <mergeCell ref="C32:E32"/>
    <mergeCell ref="J32:L32"/>
    <mergeCell ref="Q32:S32"/>
    <mergeCell ref="X32:Z32"/>
    <mergeCell ref="AE32:AG32"/>
    <mergeCell ref="A34:AH34"/>
    <mergeCell ref="A26:A32"/>
    <mergeCell ref="F26:G26"/>
    <mergeCell ref="AO16:AO23"/>
    <mergeCell ref="A17:E17"/>
    <mergeCell ref="H17:L17"/>
    <mergeCell ref="O17:S17"/>
    <mergeCell ref="V17:Z17"/>
    <mergeCell ref="AC17:AG17"/>
    <mergeCell ref="A18:A25"/>
    <mergeCell ref="H18:H25"/>
    <mergeCell ref="O18:O25"/>
    <mergeCell ref="V18:V25"/>
    <mergeCell ref="A6:A16"/>
    <mergeCell ref="H6:H16"/>
    <mergeCell ref="O6:O16"/>
    <mergeCell ref="V6:V16"/>
    <mergeCell ref="AC6:AC16"/>
    <mergeCell ref="AC18:AC25"/>
    <mergeCell ref="P23:S23"/>
    <mergeCell ref="C31:E31"/>
    <mergeCell ref="J31:L31"/>
    <mergeCell ref="Q31:S31"/>
    <mergeCell ref="X31:Z31"/>
    <mergeCell ref="AE31:AG31"/>
    <mergeCell ref="H26:H32"/>
    <mergeCell ref="M26:N26"/>
    <mergeCell ref="O26:O32"/>
    <mergeCell ref="T26:U26"/>
    <mergeCell ref="C29:E29"/>
    <mergeCell ref="J29:L29"/>
    <mergeCell ref="Q29:S29"/>
    <mergeCell ref="X29:Z29"/>
    <mergeCell ref="AE29:AG29"/>
    <mergeCell ref="C30:E30"/>
    <mergeCell ref="J30:L30"/>
    <mergeCell ref="Q30:S30"/>
    <mergeCell ref="X30:Z30"/>
    <mergeCell ref="AE30:AG30"/>
    <mergeCell ref="C27:E27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P4:S4"/>
    <mergeCell ref="AD4:AG4"/>
    <mergeCell ref="C26:E26"/>
    <mergeCell ref="J26:L26"/>
    <mergeCell ref="Q26:S26"/>
    <mergeCell ref="X26:Z26"/>
    <mergeCell ref="AE26:AG26"/>
    <mergeCell ref="V26:V32"/>
    <mergeCell ref="AA26:AB26"/>
    <mergeCell ref="AC26:AC32"/>
    <mergeCell ref="O5:S5"/>
    <mergeCell ref="V5:Z5"/>
    <mergeCell ref="O2:O4"/>
    <mergeCell ref="W4:Z4"/>
    <mergeCell ref="AC5:AG5"/>
    <mergeCell ref="P2:S2"/>
    <mergeCell ref="V2:V4"/>
    <mergeCell ref="W2:Z2"/>
    <mergeCell ref="AC2:AC4"/>
    <mergeCell ref="AD2:AG2"/>
    <mergeCell ref="P1:AD1"/>
    <mergeCell ref="A2:A4"/>
    <mergeCell ref="B2:E2"/>
    <mergeCell ref="H2:H4"/>
    <mergeCell ref="I2:L2"/>
    <mergeCell ref="A5:E5"/>
    <mergeCell ref="H5:L5"/>
    <mergeCell ref="B4:E4"/>
    <mergeCell ref="I4:L4"/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4">
      <selection activeCell="C10" sqref="C10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552" t="s">
        <v>276</v>
      </c>
      <c r="B1" s="552"/>
      <c r="C1" s="552"/>
      <c r="D1" s="552"/>
      <c r="E1" s="552"/>
      <c r="F1" s="552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246">
        <v>45229</v>
      </c>
      <c r="C3" s="246">
        <v>45230</v>
      </c>
      <c r="D3" s="5">
        <v>1</v>
      </c>
      <c r="E3" s="5">
        <f>D3+1</f>
        <v>2</v>
      </c>
      <c r="F3" s="6">
        <f>E3+1</f>
        <v>3</v>
      </c>
    </row>
    <row r="4" spans="1:6" s="9" customFormat="1" ht="42" customHeight="1">
      <c r="A4" s="18" t="s">
        <v>3</v>
      </c>
      <c r="B4" s="7" t="s">
        <v>272</v>
      </c>
      <c r="C4" s="7" t="s">
        <v>273</v>
      </c>
      <c r="D4" s="7" t="str">
        <f>'第一周'!O6</f>
        <v>餛飩麵</v>
      </c>
      <c r="E4" s="7" t="str">
        <f>'第一周'!V6</f>
        <v>魷魚麵線</v>
      </c>
      <c r="F4" s="8" t="str">
        <f>'第一周'!AC6</f>
        <v>蔥抓餅加蛋</v>
      </c>
    </row>
    <row r="5" spans="1:6" s="9" customFormat="1" ht="42" customHeight="1">
      <c r="A5" s="19" t="s">
        <v>10</v>
      </c>
      <c r="B5" s="10" t="s">
        <v>274</v>
      </c>
      <c r="C5" s="10" t="s">
        <v>275</v>
      </c>
      <c r="D5" s="10" t="str">
        <f>'第一周'!O18</f>
        <v>水果拼盤  / 鮮奶</v>
      </c>
      <c r="E5" s="10" t="str">
        <f>'第一周'!V18</f>
        <v>芋頭西米露 / 水果</v>
      </c>
      <c r="F5" s="11" t="str">
        <f>'第一周'!AC18</f>
        <v>水果拼盤  / 鮮奶</v>
      </c>
    </row>
    <row r="6" spans="1:6" s="9" customFormat="1" ht="18" customHeight="1">
      <c r="A6" s="17" t="s">
        <v>11</v>
      </c>
      <c r="B6" s="12">
        <v>6</v>
      </c>
      <c r="C6" s="12">
        <f>B6+1</f>
        <v>7</v>
      </c>
      <c r="D6" s="12">
        <f>C6+1</f>
        <v>8</v>
      </c>
      <c r="E6" s="12">
        <f>D6+1</f>
        <v>9</v>
      </c>
      <c r="F6" s="13">
        <f>E6+1</f>
        <v>10</v>
      </c>
    </row>
    <row r="7" spans="1:6" s="9" customFormat="1" ht="51" customHeight="1">
      <c r="A7" s="18" t="s">
        <v>3</v>
      </c>
      <c r="B7" s="7" t="str">
        <f>'第二週'!A6</f>
        <v>鮮筍肉包 / 優酪乳</v>
      </c>
      <c r="C7" s="7" t="str">
        <f>'第二週'!H6</f>
        <v>肉醬義大利麵</v>
      </c>
      <c r="D7" s="7" t="str">
        <f>'第二週'!O6</f>
        <v>刈包夾鮪魚蛋   /   豆漿</v>
      </c>
      <c r="E7" s="7" t="str">
        <f>'第二週'!V6</f>
        <v>鮭魚蛋炒飯</v>
      </c>
      <c r="F7" s="8" t="str">
        <f>'第二週'!AC6</f>
        <v>什錦炒麵</v>
      </c>
    </row>
    <row r="8" spans="1:6" s="9" customFormat="1" ht="51" customHeight="1">
      <c r="A8" s="19" t="s">
        <v>10</v>
      </c>
      <c r="B8" s="10" t="str">
        <f>'第二週'!A17</f>
        <v>米粉虱目魚丸湯</v>
      </c>
      <c r="C8" s="10" t="str">
        <f>'第二週'!H17</f>
        <v>水果拼盤  /  鮮奶</v>
      </c>
      <c r="D8" s="10" t="str">
        <f>'第二週'!O17</f>
        <v>自製水果凍</v>
      </c>
      <c r="E8" s="10" t="str">
        <f>'第二週'!V17</f>
        <v>桂圓紅棗銀耳奶  /  水果</v>
      </c>
      <c r="F8" s="11" t="str">
        <f>'第二週'!AC17</f>
        <v>水果拼盤  / 鮮奶</v>
      </c>
    </row>
    <row r="9" spans="1:6" s="9" customFormat="1" ht="18" customHeight="1">
      <c r="A9" s="17" t="s">
        <v>11</v>
      </c>
      <c r="B9" s="12">
        <f>B6+7</f>
        <v>13</v>
      </c>
      <c r="C9" s="12">
        <f>B9+1</f>
        <v>14</v>
      </c>
      <c r="D9" s="12">
        <f>C9+1</f>
        <v>15</v>
      </c>
      <c r="E9" s="12">
        <f>D9+1</f>
        <v>16</v>
      </c>
      <c r="F9" s="13">
        <f>E9+1</f>
        <v>17</v>
      </c>
    </row>
    <row r="10" spans="1:6" s="9" customFormat="1" ht="51" customHeight="1">
      <c r="A10" s="18" t="s">
        <v>3</v>
      </c>
      <c r="B10" s="7" t="str">
        <f>'第三周 '!A6</f>
        <v>肉包    / 牛奶</v>
      </c>
      <c r="C10" s="7" t="str">
        <f>'第三周 '!H6</f>
        <v>起司玉米蛋餅 / 鮮奶米漿</v>
      </c>
      <c r="D10" s="7" t="str">
        <f>'第三周 '!O6</f>
        <v>酸辣湯麵</v>
      </c>
      <c r="E10" s="7" t="str">
        <f>'第三周 '!V6</f>
        <v>香菇雞麵線 / 水果</v>
      </c>
      <c r="F10" s="8" t="str">
        <f>'第三周 '!AC6</f>
        <v>中卷米粉</v>
      </c>
    </row>
    <row r="11" spans="1:6" s="9" customFormat="1" ht="51" customHeight="1">
      <c r="A11" s="19" t="s">
        <v>10</v>
      </c>
      <c r="B11" s="10" t="str">
        <f>'第三周 '!A17</f>
        <v>銀魚蔬菜羹麵  /  水果</v>
      </c>
      <c r="C11" s="10" t="str">
        <f>'第三周 '!H17</f>
        <v>蘑菇濃湯</v>
      </c>
      <c r="D11" s="10" t="str">
        <f>'第三周 '!O17</f>
        <v>水果拼盤  /  鮮奶</v>
      </c>
      <c r="E11" s="10" t="str">
        <f>'第三周 '!V17</f>
        <v>紫米紅豆珍珠奶</v>
      </c>
      <c r="F11" s="11" t="str">
        <f>'第三周 '!AC17</f>
        <v>水果拼盤  /  鮮奶</v>
      </c>
    </row>
    <row r="12" spans="1:6" s="9" customFormat="1" ht="18" customHeight="1">
      <c r="A12" s="17" t="s">
        <v>11</v>
      </c>
      <c r="B12" s="12">
        <f>B9+7</f>
        <v>20</v>
      </c>
      <c r="C12" s="12">
        <f>B12+1</f>
        <v>21</v>
      </c>
      <c r="D12" s="12">
        <f>C12+1</f>
        <v>22</v>
      </c>
      <c r="E12" s="12">
        <f>D12+1</f>
        <v>23</v>
      </c>
      <c r="F12" s="13">
        <f>E12+1</f>
        <v>24</v>
      </c>
    </row>
    <row r="13" spans="1:6" s="9" customFormat="1" ht="51" customHeight="1">
      <c r="A13" s="18" t="s">
        <v>3</v>
      </c>
      <c r="B13" s="7" t="str">
        <f>'第四周'!A6</f>
        <v>刈包夾洋蔥肉片</v>
      </c>
      <c r="C13" s="7" t="str">
        <f>'第四周'!H6</f>
        <v>香菇肉羹麵</v>
      </c>
      <c r="D13" s="7" t="str">
        <f>'第四周'!O6</f>
        <v>肉絲蛋炒飯</v>
      </c>
      <c r="E13" s="7" t="str">
        <f>'第四周'!V6</f>
        <v>什錦炒年糕</v>
      </c>
      <c r="F13" s="8" t="str">
        <f>'第四周'!AC6</f>
        <v>蘿蔔糕炒蛋</v>
      </c>
    </row>
    <row r="14" spans="1:6" s="9" customFormat="1" ht="51" customHeight="1" thickBot="1">
      <c r="A14" s="20" t="s">
        <v>10</v>
      </c>
      <c r="B14" s="14" t="str">
        <f>'第四周'!A17</f>
        <v>水果拼盤  / 鮮奶</v>
      </c>
      <c r="C14" s="14" t="str">
        <f>'第四周'!H17</f>
        <v>八寶甜湯</v>
      </c>
      <c r="D14" s="14" t="str">
        <f>'第四周'!O17</f>
        <v>水果拼盤  /  鮮奶</v>
      </c>
      <c r="E14" s="14" t="str">
        <f>'第四周'!V17</f>
        <v>自製水果奶酪</v>
      </c>
      <c r="F14" s="15" t="str">
        <f>'第四周'!AC17</f>
        <v>玉米濃湯  /  水果</v>
      </c>
    </row>
    <row r="15" spans="1:6" s="9" customFormat="1" ht="18" customHeight="1">
      <c r="A15" s="187" t="s">
        <v>11</v>
      </c>
      <c r="B15" s="188">
        <f>B12+7</f>
        <v>27</v>
      </c>
      <c r="C15" s="188">
        <f>B15+1</f>
        <v>28</v>
      </c>
      <c r="D15" s="188">
        <f>C15+1</f>
        <v>29</v>
      </c>
      <c r="E15" s="247">
        <v>44896</v>
      </c>
      <c r="F15" s="248">
        <v>44897</v>
      </c>
    </row>
    <row r="16" spans="1:6" s="9" customFormat="1" ht="51" customHeight="1">
      <c r="A16" s="18" t="s">
        <v>3</v>
      </c>
      <c r="B16" s="7" t="str">
        <f>'第五周'!A6</f>
        <v>饅頭夾蛋 / 鮮奶米漿</v>
      </c>
      <c r="C16" s="7" t="str">
        <f>'第五周'!H6</f>
        <v>蒜頭蛤蠣雞湯麵</v>
      </c>
      <c r="D16" s="7" t="str">
        <f>'第五周'!O6</f>
        <v>皎白筍鮮魚粥</v>
      </c>
      <c r="E16" s="7" t="str">
        <f>'第五周'!V6</f>
        <v>吐司夾高麗菜蛋   </v>
      </c>
      <c r="F16" s="183" t="str">
        <f>'第五周'!AC6</f>
        <v>什錦炒米苔目</v>
      </c>
    </row>
    <row r="17" spans="1:6" s="9" customFormat="1" ht="51" customHeight="1" thickBot="1">
      <c r="A17" s="20" t="s">
        <v>10</v>
      </c>
      <c r="B17" s="14" t="str">
        <f>'第五周'!A18</f>
        <v>湯餃</v>
      </c>
      <c r="C17" s="14" t="str">
        <f>'第五周'!H18</f>
        <v>水果拼盤  / 鮮奶</v>
      </c>
      <c r="D17" s="14" t="str">
        <f>'第五周'!O18</f>
        <v>水果優格 </v>
      </c>
      <c r="E17" s="14" t="str">
        <f>'第五周'!V18</f>
        <v>水果拼盤 / 鮮奶</v>
      </c>
      <c r="F17" s="184" t="str">
        <f>'第五周'!AC18</f>
        <v>紅豆牛奶  / 水果</v>
      </c>
    </row>
    <row r="18" spans="1:6" s="4" customFormat="1" ht="27.75" customHeight="1">
      <c r="A18" s="553" t="s">
        <v>198</v>
      </c>
      <c r="B18" s="553"/>
      <c r="C18" s="553"/>
      <c r="D18" s="553"/>
      <c r="E18" s="553"/>
      <c r="F18" s="553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2023-10-26T00:29:22Z</cp:lastPrinted>
  <dcterms:created xsi:type="dcterms:W3CDTF">2014-08-13T02:32:12Z</dcterms:created>
  <dcterms:modified xsi:type="dcterms:W3CDTF">2023-11-01T06:26:11Z</dcterms:modified>
  <cp:category/>
  <cp:version/>
  <cp:contentType/>
  <cp:contentStatus/>
</cp:coreProperties>
</file>