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2"/>
  </bookViews>
  <sheets>
    <sheet name="第一周" sheetId="1" r:id="rId1"/>
    <sheet name="第二周" sheetId="2" r:id="rId2"/>
    <sheet name="11月" sheetId="3" r:id="rId3"/>
    <sheet name="1一日誌" sheetId="4" r:id="rId4"/>
    <sheet name="1二日誌" sheetId="5" r:id="rId5"/>
    <sheet name="1三日誌" sheetId="6" r:id="rId6"/>
    <sheet name="1四日誌" sheetId="7" r:id="rId7"/>
    <sheet name="1五日誌" sheetId="8" r:id="rId8"/>
    <sheet name="2一" sheetId="9" r:id="rId9"/>
    <sheet name="2二" sheetId="10" r:id="rId10"/>
    <sheet name="2三" sheetId="11" r:id="rId11"/>
    <sheet name="2四" sheetId="12" r:id="rId12"/>
    <sheet name="2五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fn.SINGLE" hidden="1">#NAME?</definedName>
    <definedName name="_xlnm.Print_Area" localSheetId="2">'11月'!$A$1:$H$48</definedName>
    <definedName name="_xlnm.Print_Area" localSheetId="3">'1一日誌'!$A$1:$O$65</definedName>
    <definedName name="_xlnm.Print_Area" localSheetId="8">'2一'!$A$1:$O$65</definedName>
    <definedName name="_xlnm.Print_Area" localSheetId="9">'2二'!$A$1:$N$65</definedName>
    <definedName name="_xlnm.Print_Area" localSheetId="10">'2三'!$A$1:$N$65</definedName>
    <definedName name="_xlnm.Print_Area" localSheetId="11">'2四'!$A$1:$N$65</definedName>
    <definedName name="_xlnm.Print_Area" localSheetId="0">'第一周'!$A$1:$AI$36</definedName>
    <definedName name="_xlnm.Print_Area" localSheetId="1">'第二周'!$A$1:$AI$36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1091104</t>
        </r>
        <r>
          <rPr>
            <sz val="9"/>
            <rFont val="細明體"/>
            <family val="3"/>
          </rPr>
          <t xml:space="preserve">改
</t>
        </r>
      </text>
    </comment>
    <comment ref="W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112.9.19</t>
        </r>
        <r>
          <rPr>
            <sz val="9"/>
            <rFont val="細明體"/>
            <family val="3"/>
          </rPr>
          <t>微下修</t>
        </r>
      </text>
    </comment>
    <comment ref="J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1091104</t>
        </r>
        <r>
          <rPr>
            <sz val="9"/>
            <rFont val="細明體"/>
            <family val="3"/>
          </rPr>
          <t xml:space="preserve">改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11.16</t>
        </r>
        <r>
          <rPr>
            <sz val="9"/>
            <rFont val="細明體"/>
            <family val="3"/>
          </rPr>
          <t xml:space="preserve">改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Windows 使用者</author>
    <author>User</author>
    <author>ST</author>
  </authors>
  <commentList>
    <comment ref="Y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12K/</t>
        </r>
        <r>
          <rPr>
            <sz val="9"/>
            <rFont val="細明體"/>
            <family val="3"/>
          </rPr>
          <t>件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70K</t>
        </r>
      </text>
    </comment>
    <comment ref="Y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12K/</t>
        </r>
        <r>
          <rPr>
            <sz val="9"/>
            <rFont val="細明體"/>
            <family val="3"/>
          </rPr>
          <t>件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70K</t>
        </r>
      </text>
    </comment>
    <comment ref="W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11.16</t>
        </r>
        <r>
          <rPr>
            <sz val="9"/>
            <rFont val="細明體"/>
            <family val="3"/>
          </rPr>
          <t xml:space="preserve">改
</t>
        </r>
      </text>
    </comment>
    <comment ref="P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原本</t>
        </r>
        <r>
          <rPr>
            <sz val="9"/>
            <rFont val="Tahoma"/>
            <family val="2"/>
          </rPr>
          <t>38k</t>
        </r>
      </text>
    </comment>
    <comment ref="R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2(</t>
        </r>
        <r>
          <rPr>
            <sz val="9"/>
            <rFont val="細明體"/>
            <family val="3"/>
          </rPr>
          <t>微辣</t>
        </r>
        <r>
          <rPr>
            <sz val="9"/>
            <rFont val="Tahoma"/>
            <family val="2"/>
          </rPr>
          <t>)+1</t>
        </r>
      </text>
    </comment>
    <comment ref="K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18K/</t>
        </r>
        <r>
          <rPr>
            <sz val="9"/>
            <rFont val="細明體"/>
            <family val="3"/>
          </rPr>
          <t>件
原20K</t>
        </r>
      </text>
    </comment>
    <comment ref="W17" authorId="3">
      <text>
        <r>
          <rPr>
            <b/>
            <sz val="14"/>
            <rFont val="Tahoma"/>
            <family val="2"/>
          </rPr>
          <t>ST: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改金針菇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112.9.19</t>
        </r>
        <r>
          <rPr>
            <sz val="9"/>
            <rFont val="細明體"/>
            <family val="3"/>
          </rPr>
          <t>微下修</t>
        </r>
      </text>
    </comment>
  </commentList>
</comments>
</file>

<file path=xl/sharedStrings.xml><?xml version="1.0" encoding="utf-8"?>
<sst xmlns="http://schemas.openxmlformats.org/spreadsheetml/2006/main" count="1600" uniqueCount="526">
  <si>
    <t>供應人數</t>
  </si>
  <si>
    <t>菜名</t>
  </si>
  <si>
    <t>食材</t>
  </si>
  <si>
    <t>數量</t>
  </si>
  <si>
    <t>單位</t>
  </si>
  <si>
    <t>單價</t>
  </si>
  <si>
    <t>成本</t>
  </si>
  <si>
    <t>特餐</t>
  </si>
  <si>
    <t>K</t>
  </si>
  <si>
    <t>薑絲</t>
  </si>
  <si>
    <t>顆</t>
  </si>
  <si>
    <t>營養分析</t>
  </si>
  <si>
    <t>星期二</t>
  </si>
  <si>
    <t>星期三</t>
  </si>
  <si>
    <t>星期四</t>
  </si>
  <si>
    <t>星期五</t>
  </si>
  <si>
    <t>每週平均營養量</t>
  </si>
  <si>
    <t>熱量(大卡)</t>
  </si>
  <si>
    <t>蔬菜類(份)</t>
  </si>
  <si>
    <t>油脂類(份)</t>
  </si>
  <si>
    <t>水果類/奶類(份)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</si>
  <si>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</si>
  <si>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</si>
  <si>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</si>
  <si>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</si>
  <si>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</si>
  <si>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</si>
  <si>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一</t>
  </si>
  <si>
    <r>
      <t>天氣</t>
    </r>
    <r>
      <rPr>
        <sz val="13"/>
        <rFont val="Times New Roman"/>
        <family val="1"/>
      </rPr>
      <t xml:space="preserve">  </t>
    </r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</si>
  <si>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</si>
  <si>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</si>
  <si>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</si>
  <si>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</si>
  <si>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</si>
  <si>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</si>
  <si>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</si>
  <si>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</si>
  <si>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</si>
  <si>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主食類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</si>
  <si>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</si>
  <si>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</si>
  <si>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</si>
  <si>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</si>
  <si>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</si>
  <si>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</si>
  <si>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</si>
  <si>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</si>
  <si>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</si>
  <si>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</si>
  <si>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總熱量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大卡</t>
    </r>
    <r>
      <rPr>
        <sz val="12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</si>
  <si>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</si>
  <si>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</si>
  <si>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</si>
  <si>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</si>
  <si>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</si>
  <si>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</si>
  <si>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</si>
  <si>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</si>
  <si>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t>複驗結果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</si>
  <si>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</si>
  <si>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t>□無</t>
  </si>
  <si>
    <r>
      <t xml:space="preserve"> </t>
    </r>
    <r>
      <rPr>
        <sz val="13"/>
        <rFont val="標楷體"/>
        <family val="4"/>
      </rPr>
      <t>二、廠商送貨單：</t>
    </r>
  </si>
  <si>
    <t>廚房工作</t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</si>
  <si>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</si>
  <si>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</si>
  <si>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</si>
  <si>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</si>
  <si>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</si>
  <si>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</si>
  <si>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</si>
  <si>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廠商：定緁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</si>
  <si>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</si>
  <si>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</si>
  <si>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</si>
  <si>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</si>
  <si>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</si>
  <si>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</si>
  <si>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</si>
  <si>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</si>
  <si>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t xml:space="preserve"> </t>
  </si>
  <si>
    <t>作業程序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</si>
  <si>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</si>
  <si>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</si>
  <si>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</si>
  <si>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</si>
  <si>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</si>
  <si>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</si>
  <si>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</si>
  <si>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</si>
  <si>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</si>
  <si>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二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</si>
  <si>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</si>
  <si>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</si>
  <si>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</si>
  <si>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</si>
  <si>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</si>
  <si>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</si>
  <si>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</si>
  <si>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</si>
  <si>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</si>
  <si>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</si>
  <si>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主食類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</si>
  <si>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</si>
  <si>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</si>
  <si>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</si>
  <si>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</si>
  <si>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</si>
  <si>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</si>
  <si>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</si>
  <si>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</si>
  <si>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</si>
  <si>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</si>
  <si>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</si>
  <si>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</si>
  <si>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</si>
  <si>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</si>
  <si>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</si>
  <si>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</si>
  <si>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</si>
  <si>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</si>
  <si>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</si>
  <si>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</si>
  <si>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</si>
  <si>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</si>
  <si>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</si>
  <si>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</si>
  <si>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</si>
  <si>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</si>
  <si>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</si>
  <si>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</si>
  <si>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</si>
  <si>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</si>
  <si>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</si>
  <si>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</si>
  <si>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</si>
  <si>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</si>
  <si>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</si>
  <si>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</si>
  <si>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</si>
  <si>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</si>
  <si>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三</t>
  </si>
  <si>
    <r>
      <t>天氣</t>
    </r>
    <r>
      <rPr>
        <sz val="13"/>
        <rFont val="Times New Roman"/>
        <family val="1"/>
      </rPr>
      <t xml:space="preserve">  </t>
    </r>
  </si>
  <si>
    <t xml:space="preserve"> 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</si>
  <si>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</si>
  <si>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</si>
  <si>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</si>
  <si>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四</t>
  </si>
  <si>
    <t>天氣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</si>
  <si>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</si>
  <si>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</si>
  <si>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</si>
  <si>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</si>
  <si>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</si>
  <si>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</si>
  <si>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</si>
  <si>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</si>
  <si>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</si>
  <si>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</si>
  <si>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</si>
  <si>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</si>
  <si>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</si>
  <si>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</si>
  <si>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</si>
  <si>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</si>
  <si>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</si>
  <si>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</si>
  <si>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</si>
  <si>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</si>
  <si>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</si>
  <si>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</si>
  <si>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</si>
  <si>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</si>
  <si>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</si>
  <si>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</si>
  <si>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</si>
  <si>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</si>
  <si>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</si>
  <si>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</si>
  <si>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</si>
  <si>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</si>
  <si>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月</t>
  </si>
  <si>
    <t>日</t>
  </si>
  <si>
    <t>星期</t>
  </si>
  <si>
    <t>五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</si>
  <si>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</si>
  <si>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</si>
  <si>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</si>
  <si>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</si>
  <si>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</si>
  <si>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</si>
  <si>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</si>
  <si>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</si>
  <si>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</si>
  <si>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</si>
  <si>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總熱量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大卡</t>
    </r>
    <r>
      <rPr>
        <sz val="12"/>
        <rFont val="Times New Roman"/>
        <family val="1"/>
      </rPr>
      <t>)</t>
    </r>
  </si>
  <si>
    <t>庫</t>
  </si>
  <si>
    <r>
      <t>1.</t>
    </r>
    <r>
      <rPr>
        <sz val="13"/>
        <rFont val="標楷體"/>
        <family val="4"/>
      </rPr>
      <t>冷凍食品、罐頭包裝標示完整且無破損，保存期限未逾期</t>
    </r>
  </si>
  <si>
    <r>
      <t>1.</t>
    </r>
    <r>
      <rPr>
        <sz val="13"/>
        <rFont val="標楷體"/>
        <family val="4"/>
      </rPr>
      <t>冷凍食品、罐頭包裝標示完整且無破損，保存期限未逾期</t>
    </r>
  </si>
  <si>
    <t>紅蘿蔔</t>
  </si>
  <si>
    <t>全穀根莖類(份)</t>
  </si>
  <si>
    <t>豆魚肉蛋類(份)</t>
  </si>
  <si>
    <t>週預估成本</t>
  </si>
  <si>
    <t>桃園市僑愛國民小學午餐廚房工作日誌</t>
  </si>
  <si>
    <t>桃園市僑愛國民小學午餐食材品質驗收紀錄表</t>
  </si>
  <si>
    <t>洋蔥去皮</t>
  </si>
  <si>
    <t>薑絲</t>
  </si>
  <si>
    <t>糙米飯</t>
  </si>
  <si>
    <t>燕麥飯</t>
  </si>
  <si>
    <t>小米飯</t>
  </si>
  <si>
    <t>1人</t>
  </si>
  <si>
    <t>主食類(份)</t>
  </si>
  <si>
    <t>蛋豆魚肉類(份)</t>
  </si>
  <si>
    <t>水果類(份)</t>
  </si>
  <si>
    <r>
      <t>總熱量</t>
    </r>
    <r>
      <rPr>
        <b/>
        <sz val="12"/>
        <rFont val="標楷體"/>
        <family val="4"/>
      </rPr>
      <t>(大卡)</t>
    </r>
  </si>
  <si>
    <t>總熱量(大卡)</t>
  </si>
  <si>
    <t>ps.麻煩估柚子一顆的平均單價及重量喔,謝謝~</t>
  </si>
  <si>
    <t>6.有機蔬菜產品包裝完整、包裝袋並應標明品名、農產品經營業者名稱、聯絡電話及地址、原產地、驗證機構名稱、有機農產品驗證證書字號，黏貼有機標章</t>
  </si>
  <si>
    <t>桶</t>
  </si>
  <si>
    <t>包</t>
  </si>
  <si>
    <t>冬瓜(去皮)</t>
  </si>
  <si>
    <t>水果類(份)</t>
  </si>
  <si>
    <t>薑片</t>
  </si>
  <si>
    <t>板</t>
  </si>
  <si>
    <t>奶類(份)</t>
  </si>
  <si>
    <t>水果/奶類(份)</t>
  </si>
  <si>
    <t xml:space="preserve">營養師：                                    單位主管：                                    校長：                             </t>
  </si>
  <si>
    <t>日    期</t>
  </si>
  <si>
    <t xml:space="preserve"> 驗收： </t>
  </si>
  <si>
    <t>1.冷凍食品、罐頭包裝標示完整且無破損，保存期限未逾期</t>
  </si>
  <si>
    <t>2.肉類、海鮮類檢附屠宰證明或標示CAS、HACCP之認證。</t>
  </si>
  <si>
    <t>3.乾貨無夾雜物異物或發霉，且呈新鮮食材色澤及無其他異味產生</t>
  </si>
  <si>
    <t>4.生鮮類食材，呈新鮮食材色澤且無其他異味產生</t>
  </si>
  <si>
    <t>5.試劑檢驗無異(過氧化氫、皂黃、農藥殘留檢測)</t>
  </si>
  <si>
    <t xml:space="preserve"> 1.以官能檢查生物性及物理性污染。</t>
  </si>
  <si>
    <t xml:space="preserve"> 2.判定合格：V    不合格：X。</t>
  </si>
  <si>
    <t xml:space="preserve"> 3.未符合驗收標準需退貨。</t>
  </si>
  <si>
    <t>日    期</t>
  </si>
  <si>
    <t>菜    單</t>
  </si>
  <si>
    <t xml:space="preserve"> 一、針對品項及重量驗收結果：          </t>
  </si>
  <si>
    <t xml:space="preserve"> □與訂單項目、重量相符。</t>
  </si>
  <si>
    <t xml:space="preserve"> □與訂單項目、重量不符及其情形；改善情形授權營養師複驗：</t>
  </si>
  <si>
    <t xml:space="preserve"> [改善期限]：□今日早上9：30前</t>
  </si>
  <si>
    <t xml:space="preserve"> 二、廠商送貨單：</t>
  </si>
  <si>
    <t>糙米飯</t>
  </si>
  <si>
    <t>花瓜肉片湯</t>
  </si>
  <si>
    <t>糖醋油豆腐</t>
  </si>
  <si>
    <t>肉骨茶湯</t>
  </si>
  <si>
    <t>芋頭粥</t>
  </si>
  <si>
    <t>滷豆乾</t>
  </si>
  <si>
    <t>客家小炒</t>
  </si>
  <si>
    <t>蕪菁燒雞</t>
  </si>
  <si>
    <t>有機高麗菜</t>
  </si>
  <si>
    <t>雞胸丁cas</t>
  </si>
  <si>
    <t>義式香料燉雞</t>
  </si>
  <si>
    <t>蒜頭</t>
  </si>
  <si>
    <t>洗選蛋</t>
  </si>
  <si>
    <t>番茄醬</t>
  </si>
  <si>
    <t>奶類(份)</t>
  </si>
  <si>
    <t>冬瓜燴鴿蛋</t>
  </si>
  <si>
    <t>油豆腐丁</t>
  </si>
  <si>
    <t>玉米肉末</t>
  </si>
  <si>
    <t>小香菇</t>
  </si>
  <si>
    <r>
      <t>主食類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>)</t>
    </r>
  </si>
  <si>
    <r>
      <t>蛋豆魚肉類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>)</t>
    </r>
  </si>
  <si>
    <r>
      <t>蔬菜類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>)</t>
    </r>
  </si>
  <si>
    <r>
      <t>油脂類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>)</t>
    </r>
  </si>
  <si>
    <r>
      <t>水果類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>)</t>
    </r>
  </si>
  <si>
    <r>
      <t>總熱量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大卡</t>
    </r>
    <r>
      <rPr>
        <sz val="11"/>
        <color indexed="8"/>
        <rFont val="Times New Roman"/>
        <family val="1"/>
      </rPr>
      <t>)</t>
    </r>
  </si>
  <si>
    <t>支</t>
  </si>
  <si>
    <t>K</t>
  </si>
  <si>
    <t>低脂絞肉CAS</t>
  </si>
  <si>
    <t>番茄豬肉麵</t>
  </si>
  <si>
    <t>蒜香雙花菜</t>
  </si>
  <si>
    <t>藜麥飯</t>
  </si>
  <si>
    <t>鮮炒青菜</t>
  </si>
  <si>
    <t>螞蟻上樹</t>
  </si>
  <si>
    <t>有機青菜</t>
  </si>
  <si>
    <t>現磨豆漿</t>
  </si>
  <si>
    <t>黑米飯</t>
  </si>
  <si>
    <t>三杯雞</t>
  </si>
  <si>
    <t>香菇雞湯</t>
  </si>
  <si>
    <t>壽喜燒</t>
  </si>
  <si>
    <t>親子丼</t>
  </si>
  <si>
    <t>番茄豆腐蛋花湯</t>
  </si>
  <si>
    <t>酸菜肉片湯</t>
  </si>
  <si>
    <t>山藥排骨湯</t>
  </si>
  <si>
    <t>菜單設計：侯金杏營養師</t>
  </si>
  <si>
    <t>金蘭香菇素蠔油</t>
  </si>
  <si>
    <t>骨腿丁加菜</t>
  </si>
  <si>
    <t>件</t>
  </si>
  <si>
    <t>低脂肉絲</t>
  </si>
  <si>
    <t>芹菜去葉</t>
  </si>
  <si>
    <t>脆筍絲</t>
  </si>
  <si>
    <t>肉骨茶豬肉麵</t>
  </si>
  <si>
    <t>肉骨茶豬棒腿(加菜)</t>
  </si>
  <si>
    <t>海帶結</t>
  </si>
  <si>
    <t>龍骨丁cas</t>
  </si>
  <si>
    <t>豬血</t>
  </si>
  <si>
    <t>小木耳</t>
  </si>
  <si>
    <r>
      <t>薄板豆腐</t>
    </r>
    <r>
      <rPr>
        <sz val="11"/>
        <rFont val="標楷體"/>
        <family val="4"/>
      </rPr>
      <t>(4.3K)</t>
    </r>
  </si>
  <si>
    <t>金珍菇加菜</t>
  </si>
  <si>
    <t>洗選蛋(盤</t>
  </si>
  <si>
    <t>二砂25K(台糖</t>
  </si>
  <si>
    <t>高麗菜Q</t>
  </si>
  <si>
    <t>大骨</t>
  </si>
  <si>
    <t>豆薯肉絲湯</t>
  </si>
  <si>
    <t>二砂糖</t>
  </si>
  <si>
    <t>九層塔</t>
  </si>
  <si>
    <t>海帶根</t>
  </si>
  <si>
    <t>豆干片</t>
  </si>
  <si>
    <t>白芝麻</t>
  </si>
  <si>
    <t>(少量)</t>
  </si>
  <si>
    <t>火鍋肉片</t>
  </si>
  <si>
    <t>去皮洋蔥</t>
  </si>
  <si>
    <t>豆薯去皮</t>
  </si>
  <si>
    <t>低脂肉絲CAS</t>
  </si>
  <si>
    <t>小白菜</t>
  </si>
  <si>
    <t>柴魚片300g</t>
  </si>
  <si>
    <t>肉骨茶包60G</t>
  </si>
  <si>
    <t>枸杞600g</t>
  </si>
  <si>
    <t xml:space="preserve">洋蔥去皮      </t>
  </si>
  <si>
    <t xml:space="preserve">薑片                  </t>
  </si>
  <si>
    <t xml:space="preserve">青蔥                  </t>
  </si>
  <si>
    <t>玉米粒cas</t>
  </si>
  <si>
    <t>薄板豆腐(4.3K)</t>
  </si>
  <si>
    <t>米血丁cas</t>
  </si>
  <si>
    <t>黃豆芽</t>
  </si>
  <si>
    <t>清雞絲</t>
  </si>
  <si>
    <t>有機青松菜</t>
  </si>
  <si>
    <t>有機荷葉白菜</t>
  </si>
  <si>
    <t>蒜瓣</t>
  </si>
  <si>
    <t>小磨坊孜然粉260G</t>
  </si>
  <si>
    <t>辣豆瓣醬5L</t>
  </si>
  <si>
    <t>黑麻油3L(福壽</t>
  </si>
  <si>
    <t>紅蘿蔔Q</t>
  </si>
  <si>
    <t xml:space="preserve">紅蘿蔔Q                </t>
  </si>
  <si>
    <t xml:space="preserve">豆薯去皮Q      </t>
  </si>
  <si>
    <t>白蘿蔔去皮Q</t>
  </si>
  <si>
    <t>柳丁</t>
  </si>
  <si>
    <t>養樂多鮮奶</t>
  </si>
  <si>
    <t>乳品加菜</t>
  </si>
  <si>
    <t>柳丁+A38:N53</t>
  </si>
  <si>
    <t>鮮乳</t>
  </si>
  <si>
    <t>白菜豆皮</t>
  </si>
  <si>
    <t>鮮菇蒸蛋</t>
  </si>
  <si>
    <t>白蔔蔔肉末</t>
  </si>
  <si>
    <t>有機蔬菜</t>
  </si>
  <si>
    <t>【本校一律使用國產豬、牛肉食材】</t>
  </si>
  <si>
    <t>玉米飯</t>
  </si>
  <si>
    <t>辣豆瓣醬</t>
  </si>
  <si>
    <t>大白菜Q加菜</t>
  </si>
  <si>
    <t>綠豆芽Q</t>
  </si>
  <si>
    <t>韭菜Q</t>
  </si>
  <si>
    <t>小木耳加菜</t>
  </si>
  <si>
    <t>乳品加菜(優)</t>
  </si>
  <si>
    <t>魷魚條2KCAS</t>
  </si>
  <si>
    <t>橘子</t>
  </si>
  <si>
    <t>豚骨拉麵</t>
  </si>
  <si>
    <t>木須銀芽</t>
  </si>
  <si>
    <t>紅豆紫米湯</t>
  </si>
  <si>
    <t>海帶結排骨湯</t>
  </si>
  <si>
    <t>冬瓜去皮</t>
  </si>
  <si>
    <t>週午餐食譜設計表</t>
  </si>
  <si>
    <t>洋蔥去皮Q</t>
  </si>
  <si>
    <t>梅乾菜(濕)3K</t>
  </si>
  <si>
    <t>辣椒</t>
  </si>
  <si>
    <t>蔥燒雞</t>
  </si>
  <si>
    <t>玉米蛋花湯</t>
  </si>
  <si>
    <t>產履菜</t>
  </si>
  <si>
    <t>水果</t>
  </si>
  <si>
    <t>小白油麵</t>
  </si>
  <si>
    <t>板豆腐4.3K(薄</t>
  </si>
  <si>
    <t>味噌3K</t>
  </si>
  <si>
    <t>無糖豆漿(10水瓢)</t>
  </si>
  <si>
    <t>蒜泥</t>
  </si>
  <si>
    <t>辣豆瓣(少量)</t>
  </si>
  <si>
    <t>滷包</t>
  </si>
  <si>
    <t>茶葉</t>
  </si>
  <si>
    <t>八角</t>
  </si>
  <si>
    <t>顆</t>
  </si>
  <si>
    <t>產銷黃豆(石磊)1包</t>
  </si>
  <si>
    <t>青蔥</t>
  </si>
  <si>
    <r>
      <rPr>
        <sz val="12"/>
        <rFont val="標楷體"/>
        <family val="4"/>
      </rPr>
      <t>醬油</t>
    </r>
  </si>
  <si>
    <r>
      <rPr>
        <sz val="12"/>
        <rFont val="標楷體"/>
        <family val="4"/>
      </rPr>
      <t>冰糖</t>
    </r>
  </si>
  <si>
    <t>低脂肉丁CAS</t>
  </si>
  <si>
    <t>杏鮑菇頭加菜</t>
  </si>
  <si>
    <t>茶葉蛋加菜</t>
  </si>
  <si>
    <t>有機味美菜</t>
  </si>
  <si>
    <t>白蘿蔔去皮加菜</t>
  </si>
  <si>
    <r>
      <t>低脂絞肉</t>
    </r>
    <r>
      <rPr>
        <sz val="12"/>
        <rFont val="Times New Roman"/>
        <family val="1"/>
      </rPr>
      <t>cas</t>
    </r>
  </si>
  <si>
    <t>洋蔥去皮(進口)</t>
  </si>
  <si>
    <t>肉片cas</t>
  </si>
  <si>
    <t xml:space="preserve"> 廠商：至芃</t>
  </si>
  <si>
    <t>有機青油菜</t>
  </si>
  <si>
    <r>
      <t>乾米粉</t>
    </r>
    <r>
      <rPr>
        <sz val="12"/>
        <rFont val="Times New Roman"/>
        <family val="1"/>
      </rPr>
      <t>260g</t>
    </r>
  </si>
  <si>
    <r>
      <t>低脂肉絲</t>
    </r>
    <r>
      <rPr>
        <sz val="12"/>
        <rFont val="Times New Roman"/>
        <family val="1"/>
      </rPr>
      <t>cas</t>
    </r>
  </si>
  <si>
    <r>
      <t>南瓜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去皮</t>
    </r>
    <r>
      <rPr>
        <sz val="12"/>
        <rFont val="Times New Roman"/>
        <family val="1"/>
      </rPr>
      <t>)</t>
    </r>
  </si>
  <si>
    <t>紅蔥頭先進</t>
  </si>
  <si>
    <t>雞腿</t>
  </si>
  <si>
    <t>大黃瓜(去皮)Q</t>
  </si>
  <si>
    <t>清雞片CAS</t>
  </si>
  <si>
    <t>紅蘿蔔Q</t>
  </si>
  <si>
    <t>鮑魚菇加菜</t>
  </si>
  <si>
    <t>蔥</t>
  </si>
  <si>
    <t>金針菇</t>
  </si>
  <si>
    <t>Q菜</t>
  </si>
  <si>
    <t>乾海帶芽</t>
  </si>
  <si>
    <t>龍骨丁</t>
  </si>
  <si>
    <t>玉米段加菜(3米</t>
  </si>
  <si>
    <t>玉米粒cas(週四</t>
  </si>
  <si>
    <t xml:space="preserve">  僑愛國小供餐群組 112年11月菜單</t>
  </si>
  <si>
    <t>紅豆包cas</t>
  </si>
  <si>
    <t>餡餅*2</t>
  </si>
  <si>
    <t>義式燒豆腐</t>
  </si>
  <si>
    <t>關東煮</t>
  </si>
  <si>
    <t>泡菜年糕</t>
  </si>
  <si>
    <t>麻油肉片</t>
  </si>
  <si>
    <t>豆包鮮菇(黃豆芽)</t>
  </si>
  <si>
    <t>醬淋脆皮豆腐</t>
  </si>
  <si>
    <t>滷雞腿(加菜)</t>
  </si>
  <si>
    <t>滷肉燥</t>
  </si>
  <si>
    <t>鮮炒桂竹筍</t>
  </si>
  <si>
    <t>番茄豆腐</t>
  </si>
  <si>
    <t>產銷履歷蔬菜</t>
  </si>
  <si>
    <t>冬瓜薏仁湯</t>
  </si>
  <si>
    <t>若有特殊過敏體質者，請於用餐前務必注意菜單內的食品過敏原食材（如大豆、芝麻、花生、堅果、牛奶與羊奶、蛋、麩質、魚、甲殼類等）。</t>
  </si>
  <si>
    <t>冬瓜湯</t>
  </si>
  <si>
    <t>毛豆炒蛋</t>
  </si>
  <si>
    <t>黃豆芽雞絲</t>
  </si>
  <si>
    <t>紅燒肉丁</t>
  </si>
  <si>
    <t>1500顆</t>
  </si>
  <si>
    <t>肉骨茶小排</t>
  </si>
  <si>
    <r>
      <t>滷豬排(加菜</t>
    </r>
    <r>
      <rPr>
        <sz val="12"/>
        <color indexed="10"/>
        <rFont val="微軟正黑體 Light"/>
        <family val="2"/>
      </rPr>
      <t>御賞里肌</t>
    </r>
    <r>
      <rPr>
        <sz val="18"/>
        <color indexed="10"/>
        <rFont val="微軟正黑體 Light"/>
        <family val="2"/>
      </rPr>
      <t>)</t>
    </r>
  </si>
  <si>
    <t>大番茄</t>
  </si>
  <si>
    <t>可果美番茄醬3L</t>
  </si>
  <si>
    <t>木耳</t>
  </si>
  <si>
    <t>板豆腐(4.3K/板)</t>
  </si>
  <si>
    <t>紅蔥頭先送</t>
  </si>
  <si>
    <t>地瓜飯</t>
  </si>
  <si>
    <t>部隊鍋</t>
  </si>
  <si>
    <t>現磨豆漿(薏仁)</t>
  </si>
  <si>
    <t>綠豆鮮奶</t>
  </si>
  <si>
    <t>麥片飯</t>
  </si>
  <si>
    <t>香鬆小米飯</t>
  </si>
  <si>
    <r>
      <t>本菜單乳品及水果供應較不足</t>
    </r>
    <r>
      <rPr>
        <b/>
        <sz val="22"/>
        <color indexed="62"/>
        <rFont val="微軟正黑體 Light"/>
        <family val="2"/>
      </rPr>
      <t>，建議家長可於早晚餐提供孩子乳品及水果，以補足孩子生長發育所需。</t>
    </r>
  </si>
  <si>
    <t>僑愛國民小學112學年度第一學期第</t>
  </si>
  <si>
    <r>
      <rPr>
        <b/>
        <sz val="27"/>
        <color indexed="30"/>
        <rFont val="微軟正黑體 Light"/>
        <family val="2"/>
      </rPr>
      <t xml:space="preserve">◎ </t>
    </r>
    <r>
      <rPr>
        <sz val="27"/>
        <rFont val="微軟正黑體 Light"/>
        <family val="2"/>
      </rPr>
      <t>砂鍋魚丁</t>
    </r>
  </si>
  <si>
    <t>蹄膀丁cas</t>
  </si>
  <si>
    <t>骨腿丁cas加菜</t>
  </si>
  <si>
    <t>留10水瓢煮湯麵</t>
  </si>
  <si>
    <t>筍乾燒蹄膀</t>
  </si>
  <si>
    <t>用糖炒醬色</t>
  </si>
  <si>
    <t>大薏仁</t>
  </si>
  <si>
    <t>南洋米粉湯(粗</t>
  </si>
  <si>
    <t>鯰魚丁</t>
  </si>
  <si>
    <t>大白菜</t>
  </si>
  <si>
    <t>小木耳朵</t>
  </si>
  <si>
    <t>乾豆捲</t>
  </si>
  <si>
    <t>凍豆腐</t>
  </si>
  <si>
    <t>沙茶醬(牛</t>
  </si>
  <si>
    <t>冬粉(龍口</t>
  </si>
  <si>
    <t>虱目魚甜不辣Q</t>
  </si>
  <si>
    <t>白蘿蔔去皮</t>
  </si>
  <si>
    <t>豬血糕cas</t>
  </si>
  <si>
    <t>玉米段</t>
  </si>
  <si>
    <t>鹌鶉蛋(產履</t>
  </si>
  <si>
    <t>老薑片</t>
  </si>
  <si>
    <t>板豆腐</t>
  </si>
  <si>
    <t>柴魚(600g)</t>
  </si>
  <si>
    <t>味噌</t>
  </si>
  <si>
    <t>鯛魚片</t>
  </si>
  <si>
    <t>韓式拌飯</t>
  </si>
  <si>
    <t>滷雞翅(加菜)</t>
  </si>
  <si>
    <t>雞翅</t>
  </si>
  <si>
    <t>白米(加醬油煮)</t>
  </si>
  <si>
    <t>炒肉片</t>
  </si>
  <si>
    <t>金蘭烤肉醬6K</t>
  </si>
  <si>
    <t>罐</t>
  </si>
  <si>
    <t>韓式辣椒醬500G</t>
  </si>
  <si>
    <t>海苔絲(先進)</t>
  </si>
  <si>
    <t>油菜(產銷</t>
  </si>
  <si>
    <t>毛豆粒cas</t>
  </si>
  <si>
    <t>黃豆芽(過機器)</t>
  </si>
  <si>
    <t>小黃瓜加菜</t>
  </si>
  <si>
    <t>紅蘿蔔</t>
  </si>
  <si>
    <t>清雞絲</t>
  </si>
  <si>
    <t>干絲</t>
  </si>
  <si>
    <t>食材燙熟 雞肉醃過煮熟加蒜油 香油  胡椒粉少許及鹽巴調味 拌入燙熟蔬菜干絲</t>
  </si>
  <si>
    <t>蔬菜燙熟 拌蒜頭油鹽胡椒 香油</t>
  </si>
  <si>
    <t xml:space="preserve">產履紅豆 </t>
  </si>
  <si>
    <t>紫米</t>
  </si>
  <si>
    <t>有機黑葉白菜</t>
  </si>
  <si>
    <t>有機小松菜</t>
  </si>
  <si>
    <t>有機小白菜</t>
  </si>
  <si>
    <t>有機廣島菜</t>
  </si>
  <si>
    <t>茶葉蛋小火煮</t>
  </si>
  <si>
    <t>低脂肉片CAS</t>
  </si>
  <si>
    <t>黃瓜肉絲</t>
  </si>
  <si>
    <r>
      <rPr>
        <b/>
        <sz val="27"/>
        <color indexed="10"/>
        <rFont val="微軟正黑體 Light"/>
        <family val="2"/>
      </rPr>
      <t>*</t>
    </r>
    <r>
      <rPr>
        <sz val="27"/>
        <rFont val="微軟正黑體 Light"/>
        <family val="2"/>
      </rPr>
      <t xml:space="preserve">  炒三絲</t>
    </r>
  </si>
  <si>
    <r>
      <t>對</t>
    </r>
    <r>
      <rPr>
        <sz val="22"/>
        <color indexed="30"/>
        <rFont val="微軟正黑體 Light"/>
        <family val="2"/>
      </rPr>
      <t>魚、蝦等海鮮類食物過敏者</t>
    </r>
    <r>
      <rPr>
        <sz val="22"/>
        <rFont val="微軟正黑體 Light"/>
        <family val="2"/>
      </rPr>
      <t>，請注意菜單中標示「</t>
    </r>
    <r>
      <rPr>
        <b/>
        <sz val="22"/>
        <color indexed="30"/>
        <rFont val="微軟正黑體 Light"/>
        <family val="2"/>
      </rPr>
      <t>◎</t>
    </r>
    <r>
      <rPr>
        <sz val="22"/>
        <rFont val="微軟正黑體 Light"/>
        <family val="2"/>
      </rPr>
      <t>」的菜色；對</t>
    </r>
    <r>
      <rPr>
        <sz val="22"/>
        <color indexed="10"/>
        <rFont val="微軟正黑體 Light"/>
        <family val="2"/>
      </rPr>
      <t>花生堅果類過敏者</t>
    </r>
    <r>
      <rPr>
        <sz val="22"/>
        <rFont val="微軟正黑體 Light"/>
        <family val="2"/>
      </rPr>
      <t>，請注意菜單中標示「</t>
    </r>
    <r>
      <rPr>
        <b/>
        <sz val="22"/>
        <color indexed="10"/>
        <rFont val="微軟正黑體 Light"/>
        <family val="2"/>
      </rPr>
      <t>*</t>
    </r>
    <r>
      <rPr>
        <sz val="22"/>
        <rFont val="微軟正黑體 Light"/>
        <family val="2"/>
      </rPr>
      <t>」的菜色。</t>
    </r>
  </si>
  <si>
    <r>
      <rPr>
        <sz val="12"/>
        <rFont val="標楷體"/>
        <family val="4"/>
      </rPr>
      <t>包</t>
    </r>
  </si>
  <si>
    <t>豆薯切小丁</t>
  </si>
  <si>
    <t>金針菇加菜</t>
  </si>
  <si>
    <t>蘿蔔湯</t>
  </si>
  <si>
    <r>
      <t>◎ 紫菜魚丸湯/</t>
    </r>
    <r>
      <rPr>
        <sz val="22"/>
        <color indexed="10"/>
        <rFont val="微軟正黑體 Light"/>
        <family val="2"/>
      </rPr>
      <t>豆奶</t>
    </r>
  </si>
  <si>
    <t>貢丸cas</t>
  </si>
  <si>
    <t>貢丸cas切片</t>
  </si>
  <si>
    <t>高麗菜</t>
  </si>
  <si>
    <t>香菜</t>
  </si>
  <si>
    <t>蔬菜蛋花湯</t>
  </si>
  <si>
    <t>筍干(實重1.7K)</t>
  </si>
  <si>
    <t>乾香菇絲</t>
  </si>
  <si>
    <t>紅蔥頭碎</t>
  </si>
  <si>
    <t>桂竹筍桶(12k/桶)</t>
  </si>
  <si>
    <t xml:space="preserve"> </t>
  </si>
  <si>
    <r>
      <rPr>
        <b/>
        <sz val="27"/>
        <color indexed="30"/>
        <rFont val="微軟正黑體 Light"/>
        <family val="2"/>
      </rPr>
      <t>◎</t>
    </r>
    <r>
      <rPr>
        <sz val="27"/>
        <rFont val="微軟正黑體 Light"/>
        <family val="2"/>
      </rPr>
      <t>蔥爆魷魚</t>
    </r>
  </si>
  <si>
    <r>
      <rPr>
        <b/>
        <sz val="27"/>
        <color indexed="30"/>
        <rFont val="微軟正黑體 Light"/>
        <family val="2"/>
      </rPr>
      <t>◎</t>
    </r>
    <r>
      <rPr>
        <sz val="27"/>
        <rFont val="微軟正黑體 Light"/>
        <family val="2"/>
      </rPr>
      <t xml:space="preserve"> 味噌魚湯</t>
    </r>
  </si>
  <si>
    <r>
      <rPr>
        <b/>
        <sz val="27"/>
        <color indexed="30"/>
        <rFont val="微軟正黑體 Light"/>
        <family val="2"/>
      </rPr>
      <t>◎</t>
    </r>
    <r>
      <rPr>
        <sz val="27"/>
        <color indexed="10"/>
        <rFont val="微軟正黑體 Light"/>
        <family val="2"/>
      </rPr>
      <t>青醬海鮮</t>
    </r>
  </si>
  <si>
    <r>
      <t>南瓜濃湯</t>
    </r>
    <r>
      <rPr>
        <sz val="22"/>
        <color indexed="10"/>
        <rFont val="微軟正黑體 Light"/>
        <family val="2"/>
      </rPr>
      <t>(加水果)</t>
    </r>
  </si>
  <si>
    <r>
      <rPr>
        <b/>
        <sz val="27"/>
        <color indexed="30"/>
        <rFont val="微軟正黑體 Light"/>
        <family val="2"/>
      </rPr>
      <t>◎</t>
    </r>
    <r>
      <rPr>
        <sz val="27"/>
        <rFont val="微軟正黑體 Light"/>
        <family val="2"/>
      </rPr>
      <t>虱目魚排</t>
    </r>
  </si>
  <si>
    <r>
      <t>韭菜炒蛋(</t>
    </r>
    <r>
      <rPr>
        <b/>
        <sz val="17"/>
        <color indexed="62"/>
        <rFont val="微軟正黑體 Light"/>
        <family val="2"/>
      </rPr>
      <t>在地食材</t>
    </r>
    <r>
      <rPr>
        <sz val="17"/>
        <color indexed="10"/>
        <rFont val="微軟正黑體 Light"/>
        <family val="2"/>
      </rPr>
      <t>加菜)</t>
    </r>
  </si>
  <si>
    <r>
      <rPr>
        <b/>
        <sz val="27"/>
        <color indexed="30"/>
        <rFont val="微軟正黑體 Light"/>
        <family val="2"/>
      </rPr>
      <t>◎</t>
    </r>
    <r>
      <rPr>
        <sz val="27"/>
        <rFont val="微軟正黑體 Light"/>
        <family val="2"/>
      </rPr>
      <t>香酥魚丁</t>
    </r>
  </si>
  <si>
    <t>鮮蔬肉絲</t>
  </si>
  <si>
    <t>中5 中6 中行政停餐</t>
  </si>
  <si>
    <t>洋芋炒肉絲</t>
  </si>
  <si>
    <t>蔥炒蛋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</si>
</sst>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m/d"/>
    <numFmt numFmtId="182" formatCode="0.0_ "/>
    <numFmt numFmtId="183" formatCode="m&quot;月&quot;d&quot;日&quot;"/>
    <numFmt numFmtId="184" formatCode="0_ "/>
    <numFmt numFmtId="185" formatCode="#&quot;/包&quot;"/>
    <numFmt numFmtId="186" formatCode="yyyy/mm/dd"/>
    <numFmt numFmtId="187" formatCode="0.0_);[Red]\(0.0\)"/>
    <numFmt numFmtId="188" formatCode="###&quot;大卡&quot;"/>
    <numFmt numFmtId="189" formatCode="0.0"/>
    <numFmt numFmtId="190" formatCode="yyyy/mm/dd\(aaaa\)"/>
    <numFmt numFmtId="191" formatCode="&quot;人/&quot;#,##0.00&quot;元&quot;"/>
    <numFmt numFmtId="192" formatCode="@&quot;國民小學108學年度第二學期第&quot;&quot;4&quot;&quot;週午餐食譜設計表&quot;"/>
    <numFmt numFmtId="193" formatCode="#,##0.0"/>
    <numFmt numFmtId="194" formatCode="&quot;總成本:人/&quot;#,##0.00&quot;元&quot;"/>
    <numFmt numFmtId="195" formatCode="&quot;平均成本:人/&quot;#,##0.00&quot;元&quot;"/>
    <numFmt numFmtId="196" formatCode="&quot;僑愛國民小學110學年度第一學期第&quot;#&quot;週午餐食譜設計表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4]AM/PM\ hh:mm:ss"/>
    <numFmt numFmtId="202" formatCode="[$-F400]h:mm:ss\ AM/PM"/>
    <numFmt numFmtId="203" formatCode="m/d;@"/>
  </numFmts>
  <fonts count="154">
    <font>
      <sz val="12"/>
      <name val="新細明體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20"/>
      <name val="Times New Roman"/>
      <family val="1"/>
    </font>
    <font>
      <b/>
      <sz val="20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3"/>
      <color indexed="8"/>
      <name val="標楷體"/>
      <family val="4"/>
    </font>
    <font>
      <sz val="11"/>
      <color indexed="8"/>
      <name val="細明體"/>
      <family val="3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細明體"/>
      <family val="3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b/>
      <sz val="16"/>
      <name val="標楷體"/>
      <family val="4"/>
    </font>
    <font>
      <b/>
      <sz val="12"/>
      <color indexed="12"/>
      <name val="標楷體"/>
      <family val="4"/>
    </font>
    <font>
      <sz val="20"/>
      <name val="標楷體"/>
      <family val="4"/>
    </font>
    <font>
      <sz val="20"/>
      <color indexed="10"/>
      <name val="標楷體"/>
      <family val="4"/>
    </font>
    <font>
      <sz val="20"/>
      <color indexed="12"/>
      <name val="標楷體"/>
      <family val="4"/>
    </font>
    <font>
      <b/>
      <sz val="18"/>
      <name val="標楷體"/>
      <family val="4"/>
    </font>
    <font>
      <sz val="18"/>
      <color indexed="12"/>
      <name val="標楷體"/>
      <family val="4"/>
    </font>
    <font>
      <sz val="18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Microsoft YaHei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60"/>
      <name val="微軟正黑體 Light"/>
      <family val="2"/>
    </font>
    <font>
      <sz val="12"/>
      <name val="微軟正黑體 Light"/>
      <family val="2"/>
    </font>
    <font>
      <sz val="27"/>
      <name val="微軟正黑體 Light"/>
      <family val="2"/>
    </font>
    <font>
      <sz val="20"/>
      <name val="微軟正黑體 Light"/>
      <family val="2"/>
    </font>
    <font>
      <b/>
      <sz val="27"/>
      <name val="微軟正黑體 Light"/>
      <family val="2"/>
    </font>
    <font>
      <b/>
      <sz val="24"/>
      <name val="微軟正黑體 Light"/>
      <family val="2"/>
    </font>
    <font>
      <sz val="24"/>
      <name val="微軟正黑體 Light"/>
      <family val="2"/>
    </font>
    <font>
      <sz val="26"/>
      <name val="微軟正黑體 Light"/>
      <family val="2"/>
    </font>
    <font>
      <sz val="22"/>
      <name val="微軟正黑體 Light"/>
      <family val="2"/>
    </font>
    <font>
      <sz val="14"/>
      <name val="微軟正黑體 Light"/>
      <family val="2"/>
    </font>
    <font>
      <sz val="16"/>
      <name val="微軟正黑體 Light"/>
      <family val="2"/>
    </font>
    <font>
      <sz val="27"/>
      <color indexed="8"/>
      <name val="微軟正黑體 Light"/>
      <family val="2"/>
    </font>
    <font>
      <sz val="18"/>
      <name val="微軟正黑體 Light"/>
      <family val="2"/>
    </font>
    <font>
      <sz val="28"/>
      <name val="微軟正黑體 Light"/>
      <family val="2"/>
    </font>
    <font>
      <sz val="22"/>
      <color indexed="10"/>
      <name val="微軟正黑體 Light"/>
      <family val="2"/>
    </font>
    <font>
      <sz val="27"/>
      <color indexed="10"/>
      <name val="微軟正黑體 Light"/>
      <family val="2"/>
    </font>
    <font>
      <sz val="18"/>
      <color indexed="10"/>
      <name val="微軟正黑體 Light"/>
      <family val="2"/>
    </font>
    <font>
      <b/>
      <sz val="27"/>
      <color indexed="30"/>
      <name val="微軟正黑體 Light"/>
      <family val="2"/>
    </font>
    <font>
      <sz val="12"/>
      <color indexed="10"/>
      <name val="微軟正黑體 Light"/>
      <family val="2"/>
    </font>
    <font>
      <sz val="22"/>
      <color indexed="30"/>
      <name val="微軟正黑體 Light"/>
      <family val="2"/>
    </font>
    <font>
      <b/>
      <sz val="22"/>
      <color indexed="30"/>
      <name val="微軟正黑體 Light"/>
      <family val="2"/>
    </font>
    <font>
      <b/>
      <sz val="22"/>
      <color indexed="62"/>
      <name val="微軟正黑體 Light"/>
      <family val="2"/>
    </font>
    <font>
      <sz val="9"/>
      <name val="標楷體"/>
      <family val="4"/>
    </font>
    <font>
      <sz val="12"/>
      <name val="細明體"/>
      <family val="3"/>
    </font>
    <font>
      <b/>
      <sz val="9"/>
      <name val="細明體"/>
      <family val="3"/>
    </font>
    <font>
      <b/>
      <sz val="12"/>
      <color indexed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27"/>
      <color indexed="10"/>
      <name val="微軟正黑體 Light"/>
      <family val="2"/>
    </font>
    <font>
      <b/>
      <sz val="22"/>
      <color indexed="10"/>
      <name val="微軟正黑體 Light"/>
      <family val="2"/>
    </font>
    <font>
      <sz val="17"/>
      <color indexed="10"/>
      <name val="微軟正黑體 Light"/>
      <family val="2"/>
    </font>
    <font>
      <b/>
      <sz val="17"/>
      <color indexed="62"/>
      <name val="微軟正黑體 Light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59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標楷體"/>
      <family val="4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1"/>
      <color indexed="10"/>
      <name val="標楷體"/>
      <family val="4"/>
    </font>
    <font>
      <sz val="26"/>
      <color indexed="8"/>
      <name val="微軟正黑體 Light"/>
      <family val="2"/>
    </font>
    <font>
      <sz val="24"/>
      <color indexed="10"/>
      <name val="微軟正黑體 Light"/>
      <family val="2"/>
    </font>
    <font>
      <b/>
      <sz val="12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sz val="11"/>
      <color rgb="FF0000FF"/>
      <name val="標楷體"/>
      <family val="4"/>
    </font>
    <font>
      <sz val="20"/>
      <color rgb="FF0000FF"/>
      <name val="標楷體"/>
      <family val="4"/>
    </font>
    <font>
      <sz val="18"/>
      <color rgb="FF0000FF"/>
      <name val="標楷體"/>
      <family val="4"/>
    </font>
    <font>
      <sz val="12"/>
      <color rgb="FFFF0000"/>
      <name val="標楷體"/>
      <family val="4"/>
    </font>
    <font>
      <sz val="9"/>
      <color theme="1"/>
      <name val="Calibri"/>
      <family val="1"/>
    </font>
    <font>
      <sz val="11"/>
      <color theme="1"/>
      <name val="標楷體"/>
      <family val="4"/>
    </font>
    <font>
      <sz val="12"/>
      <color rgb="FFFF0000"/>
      <name val="Times New Roman"/>
      <family val="1"/>
    </font>
    <font>
      <b/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27"/>
      <color rgb="FFFF0000"/>
      <name val="微軟正黑體 Light"/>
      <family val="2"/>
    </font>
    <font>
      <sz val="18"/>
      <color rgb="FFFF0000"/>
      <name val="微軟正黑體 Light"/>
      <family val="2"/>
    </font>
    <font>
      <sz val="26"/>
      <color theme="1"/>
      <name val="微軟正黑體 Light"/>
      <family val="2"/>
    </font>
    <font>
      <sz val="24"/>
      <color rgb="FFFF0000"/>
      <name val="微軟正黑體 Light"/>
      <family val="2"/>
    </font>
    <font>
      <sz val="22"/>
      <color rgb="FFFF0000"/>
      <name val="微軟正黑體 Light"/>
      <family val="2"/>
    </font>
    <font>
      <sz val="17"/>
      <color rgb="FFFF0000"/>
      <name val="微軟正黑體 Light"/>
      <family val="2"/>
    </font>
    <font>
      <b/>
      <sz val="12"/>
      <color theme="0"/>
      <name val="新細明體"/>
      <family val="1"/>
    </font>
    <font>
      <b/>
      <sz val="12"/>
      <color theme="0"/>
      <name val="Times New Roman"/>
      <family val="1"/>
    </font>
    <font>
      <sz val="10"/>
      <color rgb="FFFF0000"/>
      <name val="標楷體"/>
      <family val="4"/>
    </font>
    <font>
      <b/>
      <sz val="22"/>
      <color rgb="FF7030A0"/>
      <name val="微軟正黑體 Light"/>
      <family val="2"/>
    </font>
    <font>
      <b/>
      <sz val="8"/>
      <name val="新細明體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/>
      <bottom style="medium"/>
    </border>
    <border>
      <left/>
      <right/>
      <top style="thin"/>
      <bottom style="thin">
        <color indexed="59"/>
      </bottom>
    </border>
    <border>
      <left/>
      <right style="thin">
        <color indexed="59"/>
      </right>
      <top style="thin"/>
      <bottom style="thin">
        <color indexed="59"/>
      </bottom>
    </border>
    <border>
      <left/>
      <right style="thin">
        <color indexed="59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/>
    </border>
    <border>
      <left style="thin"/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>
        <color indexed="59"/>
      </bottom>
    </border>
    <border>
      <left style="thin"/>
      <right/>
      <top>
        <color indexed="63"/>
      </top>
      <bottom style="thin"/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/>
      <right/>
      <top style="medium"/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>
        <color indexed="59"/>
      </right>
      <top style="medium"/>
      <bottom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medium"/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9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 style="thin">
        <color indexed="63"/>
      </right>
      <top style="thin"/>
      <bottom style="thin">
        <color indexed="5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2" fillId="0" borderId="0">
      <alignment vertical="center"/>
      <protection/>
    </xf>
    <xf numFmtId="0" fontId="114" fillId="0" borderId="0">
      <alignment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50" fillId="0" borderId="0">
      <alignment vertical="center"/>
      <protection/>
    </xf>
    <xf numFmtId="0" fontId="1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3" fontId="5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" fillId="0" borderId="0" applyFill="0" applyBorder="0" applyAlignment="0" applyProtection="0"/>
    <xf numFmtId="0" fontId="115" fillId="20" borderId="0" applyNumberFormat="0" applyBorder="0" applyAlignment="0" applyProtection="0"/>
    <xf numFmtId="0" fontId="116" fillId="0" borderId="1" applyNumberFormat="0" applyFill="0" applyAlignment="0" applyProtection="0"/>
    <xf numFmtId="0" fontId="117" fillId="21" borderId="0" applyNumberFormat="0" applyBorder="0" applyAlignment="0" applyProtection="0"/>
    <xf numFmtId="9" fontId="1" fillId="0" borderId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1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0" borderId="3" applyNumberFormat="0" applyFill="0" applyAlignment="0" applyProtection="0"/>
    <xf numFmtId="0" fontId="0" fillId="23" borderId="4" applyNumberFormat="0" applyFont="0" applyAlignment="0" applyProtection="0"/>
    <xf numFmtId="0" fontId="120" fillId="0" borderId="0" applyNumberFormat="0" applyFill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30" borderId="2" applyNumberFormat="0" applyAlignment="0" applyProtection="0"/>
    <xf numFmtId="0" fontId="126" fillId="22" borderId="8" applyNumberFormat="0" applyAlignment="0" applyProtection="0"/>
    <xf numFmtId="0" fontId="127" fillId="31" borderId="9" applyNumberFormat="0" applyAlignment="0" applyProtection="0"/>
    <xf numFmtId="0" fontId="128" fillId="32" borderId="0" applyNumberFormat="0" applyBorder="0" applyAlignment="0" applyProtection="0"/>
    <xf numFmtId="0" fontId="129" fillId="0" borderId="0" applyNumberFormat="0" applyFill="0" applyBorder="0" applyAlignment="0" applyProtection="0"/>
  </cellStyleXfs>
  <cellXfs count="65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0" fillId="0" borderId="0" xfId="35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82" fontId="8" fillId="0" borderId="0" xfId="35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35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2" fontId="5" fillId="0" borderId="0" xfId="35" applyNumberFormat="1" applyFont="1" applyFill="1" applyBorder="1" applyAlignment="1">
      <alignment horizontal="right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6" fillId="0" borderId="20" xfId="35" applyFont="1" applyBorder="1" applyAlignment="1">
      <alignment horizontal="center" vertical="center"/>
      <protection/>
    </xf>
    <xf numFmtId="0" fontId="8" fillId="0" borderId="20" xfId="35" applyFont="1" applyBorder="1" applyAlignment="1">
      <alignment horizontal="center" vertical="center"/>
      <protection/>
    </xf>
    <xf numFmtId="0" fontId="29" fillId="0" borderId="17" xfId="35" applyFont="1" applyFill="1" applyBorder="1" applyAlignment="1">
      <alignment horizontal="center" vertical="center" wrapText="1" readingOrder="1"/>
      <protection/>
    </xf>
    <xf numFmtId="0" fontId="29" fillId="0" borderId="27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1" fillId="34" borderId="33" xfId="50" applyFont="1" applyFill="1" applyBorder="1" applyAlignment="1">
      <alignment horizontal="center" vertical="center"/>
      <protection/>
    </xf>
    <xf numFmtId="0" fontId="11" fillId="34" borderId="34" xfId="50" applyFont="1" applyFill="1" applyBorder="1" applyAlignment="1">
      <alignment horizontal="center" vertical="center"/>
      <protection/>
    </xf>
    <xf numFmtId="0" fontId="12" fillId="34" borderId="34" xfId="50" applyFont="1" applyFill="1" applyBorder="1" applyAlignment="1">
      <alignment horizontal="center" vertical="center"/>
      <protection/>
    </xf>
    <xf numFmtId="0" fontId="12" fillId="34" borderId="35" xfId="50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178" fontId="4" fillId="0" borderId="37" xfId="0" applyNumberFormat="1" applyFont="1" applyFill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1" fillId="34" borderId="40" xfId="50" applyFont="1" applyFill="1" applyBorder="1" applyAlignment="1">
      <alignment horizontal="center" vertical="center"/>
      <protection/>
    </xf>
    <xf numFmtId="0" fontId="33" fillId="34" borderId="4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8" fontId="130" fillId="0" borderId="38" xfId="0" applyNumberFormat="1" applyFont="1" applyFill="1" applyBorder="1" applyAlignment="1">
      <alignment vertical="center"/>
    </xf>
    <xf numFmtId="179" fontId="130" fillId="0" borderId="38" xfId="0" applyNumberFormat="1" applyFont="1" applyFill="1" applyBorder="1" applyAlignment="1">
      <alignment vertical="center"/>
    </xf>
    <xf numFmtId="0" fontId="131" fillId="0" borderId="32" xfId="0" applyFont="1" applyFill="1" applyBorder="1" applyAlignment="1">
      <alignment horizontal="center" vertical="center"/>
    </xf>
    <xf numFmtId="0" fontId="131" fillId="0" borderId="47" xfId="0" applyFont="1" applyFill="1" applyBorder="1" applyAlignment="1">
      <alignment vertical="center"/>
    </xf>
    <xf numFmtId="0" fontId="130" fillId="34" borderId="39" xfId="0" applyFont="1" applyFill="1" applyBorder="1" applyAlignment="1">
      <alignment horizontal="center" vertical="center"/>
    </xf>
    <xf numFmtId="0" fontId="130" fillId="34" borderId="40" xfId="0" applyFont="1" applyFill="1" applyBorder="1" applyAlignment="1">
      <alignment horizontal="center" vertical="center"/>
    </xf>
    <xf numFmtId="0" fontId="130" fillId="34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32" fillId="34" borderId="40" xfId="50" applyFont="1" applyFill="1" applyBorder="1" applyAlignment="1">
      <alignment horizontal="center" vertical="center"/>
      <protection/>
    </xf>
    <xf numFmtId="0" fontId="130" fillId="34" borderId="43" xfId="0" applyFont="1" applyFill="1" applyBorder="1" applyAlignment="1">
      <alignment horizontal="center" vertical="center"/>
    </xf>
    <xf numFmtId="0" fontId="130" fillId="34" borderId="44" xfId="0" applyFont="1" applyFill="1" applyBorder="1" applyAlignment="1">
      <alignment horizontal="center" vertical="center"/>
    </xf>
    <xf numFmtId="0" fontId="130" fillId="34" borderId="25" xfId="0" applyFont="1" applyFill="1" applyBorder="1" applyAlignment="1">
      <alignment horizontal="center" vertical="center"/>
    </xf>
    <xf numFmtId="0" fontId="130" fillId="0" borderId="36" xfId="0" applyFont="1" applyFill="1" applyBorder="1" applyAlignment="1">
      <alignment horizontal="center" vertical="center"/>
    </xf>
    <xf numFmtId="0" fontId="133" fillId="0" borderId="0" xfId="0" applyFont="1" applyFill="1" applyAlignment="1">
      <alignment horizontal="right" vertical="center"/>
    </xf>
    <xf numFmtId="0" fontId="134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/>
    </xf>
    <xf numFmtId="0" fontId="4" fillId="35" borderId="51" xfId="0" applyFont="1" applyFill="1" applyBorder="1" applyAlignment="1">
      <alignment vertical="center"/>
    </xf>
    <xf numFmtId="0" fontId="135" fillId="35" borderId="48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131" fillId="35" borderId="27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30" fillId="35" borderId="48" xfId="0" applyFont="1" applyFill="1" applyBorder="1" applyAlignment="1">
      <alignment horizontal="center" vertical="center"/>
    </xf>
    <xf numFmtId="0" fontId="30" fillId="35" borderId="49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131" fillId="35" borderId="5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135" fillId="35" borderId="29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6" fillId="0" borderId="19" xfId="0" applyFont="1" applyFill="1" applyBorder="1" applyAlignment="1">
      <alignment horizontal="left" shrinkToFit="1"/>
    </xf>
    <xf numFmtId="0" fontId="43" fillId="0" borderId="19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7" xfId="35" applyFont="1" applyFill="1" applyBorder="1" applyAlignment="1">
      <alignment horizontal="center" vertical="center" wrapText="1" readingOrder="1"/>
      <protection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180" fontId="33" fillId="0" borderId="38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7" fontId="33" fillId="0" borderId="55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8" fontId="33" fillId="0" borderId="55" xfId="0" applyNumberFormat="1" applyFont="1" applyFill="1" applyBorder="1" applyAlignment="1">
      <alignment vertical="center"/>
    </xf>
    <xf numFmtId="178" fontId="4" fillId="0" borderId="56" xfId="0" applyNumberFormat="1" applyFont="1" applyFill="1" applyBorder="1" applyAlignment="1">
      <alignment vertical="center"/>
    </xf>
    <xf numFmtId="179" fontId="33" fillId="0" borderId="55" xfId="0" applyNumberFormat="1" applyFont="1" applyFill="1" applyBorder="1" applyAlignment="1">
      <alignment vertical="center"/>
    </xf>
    <xf numFmtId="179" fontId="4" fillId="0" borderId="56" xfId="0" applyNumberFormat="1" applyFont="1" applyFill="1" applyBorder="1" applyAlignment="1">
      <alignment vertical="center"/>
    </xf>
    <xf numFmtId="0" fontId="7" fillId="35" borderId="57" xfId="0" applyFont="1" applyFill="1" applyBorder="1" applyAlignment="1">
      <alignment horizontal="center" vertical="center"/>
    </xf>
    <xf numFmtId="0" fontId="136" fillId="0" borderId="19" xfId="0" applyFont="1" applyBorder="1" applyAlignment="1">
      <alignment vertical="center"/>
    </xf>
    <xf numFmtId="0" fontId="137" fillId="0" borderId="19" xfId="0" applyFont="1" applyBorder="1" applyAlignment="1">
      <alignment vertical="center"/>
    </xf>
    <xf numFmtId="0" fontId="135" fillId="0" borderId="48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138" fillId="35" borderId="48" xfId="0" applyFont="1" applyFill="1" applyBorder="1" applyAlignment="1">
      <alignment horizontal="center" vertical="center"/>
    </xf>
    <xf numFmtId="0" fontId="139" fillId="35" borderId="52" xfId="0" applyFont="1" applyFill="1" applyBorder="1" applyAlignment="1">
      <alignment horizontal="center" vertical="center"/>
    </xf>
    <xf numFmtId="0" fontId="46" fillId="35" borderId="37" xfId="0" applyFont="1" applyFill="1" applyBorder="1" applyAlignment="1">
      <alignment horizontal="center" vertical="center"/>
    </xf>
    <xf numFmtId="0" fontId="140" fillId="35" borderId="48" xfId="0" applyFont="1" applyFill="1" applyBorder="1" applyAlignment="1">
      <alignment horizontal="center" vertical="center"/>
    </xf>
    <xf numFmtId="0" fontId="140" fillId="35" borderId="48" xfId="0" applyFont="1" applyFill="1" applyBorder="1" applyAlignment="1">
      <alignment horizontal="center" vertical="center" wrapText="1"/>
    </xf>
    <xf numFmtId="0" fontId="135" fillId="35" borderId="48" xfId="0" applyFont="1" applyFill="1" applyBorder="1" applyAlignment="1">
      <alignment horizontal="center" vertical="center" wrapText="1"/>
    </xf>
    <xf numFmtId="0" fontId="141" fillId="35" borderId="48" xfId="0" applyFont="1" applyFill="1" applyBorder="1" applyAlignment="1">
      <alignment horizontal="center" vertical="center" wrapText="1"/>
    </xf>
    <xf numFmtId="0" fontId="141" fillId="35" borderId="49" xfId="0" applyFont="1" applyFill="1" applyBorder="1" applyAlignment="1">
      <alignment horizontal="center" vertical="center"/>
    </xf>
    <xf numFmtId="0" fontId="135" fillId="35" borderId="29" xfId="0" applyFont="1" applyFill="1" applyBorder="1" applyAlignment="1">
      <alignment horizontal="center" vertical="center" wrapText="1"/>
    </xf>
    <xf numFmtId="0" fontId="141" fillId="13" borderId="29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180" fontId="130" fillId="0" borderId="38" xfId="0" applyNumberFormat="1" applyFont="1" applyFill="1" applyBorder="1" applyAlignment="1">
      <alignment vertical="center"/>
    </xf>
    <xf numFmtId="0" fontId="131" fillId="0" borderId="37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139" fillId="35" borderId="59" xfId="0" applyFont="1" applyFill="1" applyBorder="1" applyAlignment="1">
      <alignment horizontal="center" vertical="center"/>
    </xf>
    <xf numFmtId="0" fontId="8" fillId="35" borderId="60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135" fillId="35" borderId="5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131" fillId="0" borderId="57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5" fillId="0" borderId="36" xfId="0" applyFont="1" applyBorder="1" applyAlignment="1">
      <alignment vertical="center"/>
    </xf>
    <xf numFmtId="182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35" borderId="48" xfId="0" applyFont="1" applyFill="1" applyBorder="1" applyAlignment="1">
      <alignment horizontal="center" vertical="center" shrinkToFit="1"/>
    </xf>
    <xf numFmtId="0" fontId="141" fillId="35" borderId="15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shrinkToFit="1"/>
    </xf>
    <xf numFmtId="0" fontId="141" fillId="35" borderId="4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center" vertical="center"/>
    </xf>
    <xf numFmtId="3" fontId="142" fillId="36" borderId="27" xfId="41" applyNumberFormat="1" applyFont="1" applyFill="1" applyBorder="1" applyAlignment="1">
      <alignment horizontal="center" vertical="center" shrinkToFit="1"/>
      <protection/>
    </xf>
    <xf numFmtId="3" fontId="142" fillId="37" borderId="27" xfId="41" applyNumberFormat="1" applyFont="1" applyFill="1" applyBorder="1" applyAlignment="1">
      <alignment horizontal="center" vertical="center" shrinkToFit="1"/>
      <protection/>
    </xf>
    <xf numFmtId="0" fontId="131" fillId="0" borderId="0" xfId="0" applyFont="1" applyFill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41" fillId="35" borderId="29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35" fillId="35" borderId="64" xfId="0" applyFont="1" applyFill="1" applyBorder="1" applyAlignment="1">
      <alignment horizontal="center" vertical="center" wrapText="1"/>
    </xf>
    <xf numFmtId="0" fontId="135" fillId="35" borderId="66" xfId="0" applyFont="1" applyFill="1" applyBorder="1" applyAlignment="1">
      <alignment horizontal="center" vertical="center" wrapText="1"/>
    </xf>
    <xf numFmtId="0" fontId="135" fillId="0" borderId="29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41" fillId="35" borderId="5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67" xfId="0" applyFont="1" applyFill="1" applyBorder="1" applyAlignment="1">
      <alignment horizontal="right" vertical="center" wrapText="1"/>
    </xf>
    <xf numFmtId="0" fontId="58" fillId="38" borderId="68" xfId="0" applyFont="1" applyFill="1" applyBorder="1" applyAlignment="1">
      <alignment horizontal="center" vertical="center"/>
    </xf>
    <xf numFmtId="0" fontId="58" fillId="38" borderId="69" xfId="0" applyFont="1" applyFill="1" applyBorder="1" applyAlignment="1">
      <alignment horizontal="center" vertical="center"/>
    </xf>
    <xf numFmtId="0" fontId="58" fillId="38" borderId="7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39" xfId="0" applyFont="1" applyBorder="1" applyAlignment="1">
      <alignment horizontal="right" vertical="center"/>
    </xf>
    <xf numFmtId="0" fontId="60" fillId="0" borderId="53" xfId="0" applyFont="1" applyBorder="1" applyAlignment="1">
      <alignment horizontal="right" vertical="center"/>
    </xf>
    <xf numFmtId="0" fontId="60" fillId="0" borderId="42" xfId="0" applyFont="1" applyBorder="1" applyAlignment="1">
      <alignment horizontal="right" vertical="center"/>
    </xf>
    <xf numFmtId="0" fontId="60" fillId="0" borderId="71" xfId="0" applyFont="1" applyBorder="1" applyAlignment="1">
      <alignment horizontal="right" vertical="center"/>
    </xf>
    <xf numFmtId="49" fontId="61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8" fillId="0" borderId="67" xfId="0" applyFont="1" applyBorder="1" applyAlignment="1">
      <alignment horizontal="right" vertical="center" wrapText="1"/>
    </xf>
    <xf numFmtId="0" fontId="58" fillId="0" borderId="39" xfId="0" applyFont="1" applyBorder="1" applyAlignment="1">
      <alignment horizontal="right" vertical="center" wrapText="1"/>
    </xf>
    <xf numFmtId="0" fontId="58" fillId="37" borderId="67" xfId="0" applyFont="1" applyFill="1" applyBorder="1" applyAlignment="1">
      <alignment horizontal="right" vertical="center" wrapText="1"/>
    </xf>
    <xf numFmtId="0" fontId="58" fillId="0" borderId="42" xfId="0" applyFont="1" applyBorder="1" applyAlignment="1">
      <alignment horizontal="right" vertical="center" wrapText="1"/>
    </xf>
    <xf numFmtId="0" fontId="58" fillId="0" borderId="71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/>
    </xf>
    <xf numFmtId="0" fontId="58" fillId="39" borderId="67" xfId="0" applyFont="1" applyFill="1" applyBorder="1" applyAlignment="1">
      <alignment horizontal="right" vertical="center"/>
    </xf>
    <xf numFmtId="0" fontId="58" fillId="40" borderId="39" xfId="0" applyFont="1" applyFill="1" applyBorder="1" applyAlignment="1">
      <alignment horizontal="right" vertical="center"/>
    </xf>
    <xf numFmtId="0" fontId="58" fillId="0" borderId="67" xfId="0" applyFont="1" applyBorder="1" applyAlignment="1">
      <alignment horizontal="right" vertical="center"/>
    </xf>
    <xf numFmtId="0" fontId="63" fillId="41" borderId="67" xfId="0" applyFont="1" applyFill="1" applyBorder="1" applyAlignment="1">
      <alignment horizontal="right" vertical="center" wrapText="1"/>
    </xf>
    <xf numFmtId="0" fontId="58" fillId="11" borderId="67" xfId="0" applyFont="1" applyFill="1" applyBorder="1" applyAlignment="1">
      <alignment horizontal="right" vertical="center"/>
    </xf>
    <xf numFmtId="0" fontId="58" fillId="0" borderId="40" xfId="0" applyFont="1" applyBorder="1" applyAlignment="1">
      <alignment horizontal="right" vertical="center" wrapText="1"/>
    </xf>
    <xf numFmtId="0" fontId="58" fillId="0" borderId="41" xfId="0" applyFont="1" applyBorder="1" applyAlignment="1">
      <alignment horizontal="right" vertical="center" wrapText="1"/>
    </xf>
    <xf numFmtId="0" fontId="58" fillId="0" borderId="71" xfId="0" applyFont="1" applyBorder="1" applyAlignment="1">
      <alignment horizontal="right" vertical="center"/>
    </xf>
    <xf numFmtId="0" fontId="58" fillId="0" borderId="42" xfId="0" applyFont="1" applyBorder="1" applyAlignment="1">
      <alignment horizontal="right" vertical="center"/>
    </xf>
    <xf numFmtId="0" fontId="62" fillId="0" borderId="67" xfId="0" applyFont="1" applyBorder="1" applyAlignment="1">
      <alignment horizontal="right" vertical="center" wrapText="1"/>
    </xf>
    <xf numFmtId="0" fontId="58" fillId="0" borderId="72" xfId="0" applyFont="1" applyFill="1" applyBorder="1" applyAlignment="1">
      <alignment horizontal="right" vertical="center"/>
    </xf>
    <xf numFmtId="0" fontId="58" fillId="0" borderId="72" xfId="0" applyFont="1" applyBorder="1" applyAlignment="1">
      <alignment vertical="center"/>
    </xf>
    <xf numFmtId="0" fontId="58" fillId="0" borderId="73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0" fontId="60" fillId="0" borderId="74" xfId="0" applyFont="1" applyBorder="1" applyAlignment="1">
      <alignment horizontal="right" vertical="center"/>
    </xf>
    <xf numFmtId="0" fontId="60" fillId="0" borderId="40" xfId="0" applyFont="1" applyBorder="1" applyAlignment="1">
      <alignment horizontal="right" vertical="center"/>
    </xf>
    <xf numFmtId="0" fontId="58" fillId="0" borderId="74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62" fillId="41" borderId="67" xfId="0" applyFont="1" applyFill="1" applyBorder="1" applyAlignment="1">
      <alignment horizontal="right" vertical="center" wrapText="1"/>
    </xf>
    <xf numFmtId="0" fontId="58" fillId="39" borderId="39" xfId="0" applyFont="1" applyFill="1" applyBorder="1" applyAlignment="1">
      <alignment horizontal="right" vertical="center"/>
    </xf>
    <xf numFmtId="0" fontId="58" fillId="40" borderId="67" xfId="0" applyFont="1" applyFill="1" applyBorder="1" applyAlignment="1">
      <alignment horizontal="right" vertical="center"/>
    </xf>
    <xf numFmtId="0" fontId="58" fillId="37" borderId="41" xfId="0" applyFont="1" applyFill="1" applyBorder="1" applyAlignment="1">
      <alignment horizontal="right" vertical="center"/>
    </xf>
    <xf numFmtId="0" fontId="58" fillId="42" borderId="73" xfId="0" applyFont="1" applyFill="1" applyBorder="1" applyAlignment="1">
      <alignment horizontal="right" vertical="center"/>
    </xf>
    <xf numFmtId="0" fontId="58" fillId="0" borderId="39" xfId="0" applyFont="1" applyBorder="1" applyAlignment="1">
      <alignment horizontal="right" vertical="center"/>
    </xf>
    <xf numFmtId="0" fontId="60" fillId="0" borderId="67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58" fillId="39" borderId="42" xfId="0" applyFont="1" applyFill="1" applyBorder="1" applyAlignment="1">
      <alignment horizontal="right" vertical="center" wrapText="1"/>
    </xf>
    <xf numFmtId="0" fontId="58" fillId="41" borderId="71" xfId="0" applyFont="1" applyFill="1" applyBorder="1" applyAlignment="1">
      <alignment horizontal="right" vertical="center"/>
    </xf>
    <xf numFmtId="0" fontId="143" fillId="0" borderId="72" xfId="0" applyFont="1" applyBorder="1" applyAlignment="1">
      <alignment horizontal="right" vertical="center"/>
    </xf>
    <xf numFmtId="0" fontId="62" fillId="0" borderId="64" xfId="0" applyFont="1" applyBorder="1" applyAlignment="1">
      <alignment horizontal="right" vertical="center"/>
    </xf>
    <xf numFmtId="0" fontId="58" fillId="37" borderId="74" xfId="0" applyFont="1" applyFill="1" applyBorder="1" applyAlignment="1">
      <alignment horizontal="right" vertical="center"/>
    </xf>
    <xf numFmtId="0" fontId="58" fillId="40" borderId="40" xfId="0" applyFont="1" applyFill="1" applyBorder="1" applyAlignment="1">
      <alignment horizontal="right" vertical="center"/>
    </xf>
    <xf numFmtId="0" fontId="144" fillId="35" borderId="67" xfId="0" applyFont="1" applyFill="1" applyBorder="1" applyAlignment="1">
      <alignment horizontal="right" vertical="center" wrapText="1"/>
    </xf>
    <xf numFmtId="0" fontId="58" fillId="41" borderId="42" xfId="0" applyFont="1" applyFill="1" applyBorder="1" applyAlignment="1">
      <alignment horizontal="right" vertical="center"/>
    </xf>
    <xf numFmtId="0" fontId="58" fillId="0" borderId="40" xfId="0" applyFont="1" applyBorder="1" applyAlignment="1">
      <alignment horizontal="right" vertical="center"/>
    </xf>
    <xf numFmtId="0" fontId="64" fillId="0" borderId="75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58" fillId="0" borderId="41" xfId="0" applyFont="1" applyBorder="1" applyAlignment="1">
      <alignment vertical="center"/>
    </xf>
    <xf numFmtId="0" fontId="58" fillId="41" borderId="40" xfId="0" applyFont="1" applyFill="1" applyBorder="1" applyAlignment="1">
      <alignment horizontal="right" vertical="center"/>
    </xf>
    <xf numFmtId="0" fontId="67" fillId="14" borderId="40" xfId="0" applyFont="1" applyFill="1" applyBorder="1" applyAlignment="1">
      <alignment horizontal="right" vertical="center" wrapText="1"/>
    </xf>
    <xf numFmtId="0" fontId="58" fillId="0" borderId="67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9" fillId="0" borderId="0" xfId="0" applyFont="1" applyBorder="1" applyAlignment="1">
      <alignment horizontal="right" vertical="center"/>
    </xf>
    <xf numFmtId="182" fontId="69" fillId="0" borderId="0" xfId="0" applyNumberFormat="1" applyFont="1" applyAlignment="1">
      <alignment vertical="center"/>
    </xf>
    <xf numFmtId="0" fontId="59" fillId="0" borderId="71" xfId="0" applyFont="1" applyBorder="1" applyAlignment="1">
      <alignment horizontal="right" vertical="center"/>
    </xf>
    <xf numFmtId="0" fontId="63" fillId="37" borderId="67" xfId="0" applyFont="1" applyFill="1" applyBorder="1" applyAlignment="1">
      <alignment horizontal="right" vertical="center"/>
    </xf>
    <xf numFmtId="0" fontId="145" fillId="41" borderId="67" xfId="0" applyFont="1" applyFill="1" applyBorder="1" applyAlignment="1">
      <alignment horizontal="right" vertical="center" wrapText="1"/>
    </xf>
    <xf numFmtId="0" fontId="143" fillId="40" borderId="67" xfId="0" applyFont="1" applyFill="1" applyBorder="1" applyAlignment="1">
      <alignment horizontal="right" vertical="center" wrapText="1"/>
    </xf>
    <xf numFmtId="0" fontId="58" fillId="0" borderId="72" xfId="0" applyFont="1" applyBorder="1" applyAlignment="1">
      <alignment horizontal="right" vertical="center"/>
    </xf>
    <xf numFmtId="203" fontId="60" fillId="0" borderId="74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8" fillId="0" borderId="74" xfId="0" applyFont="1" applyBorder="1" applyAlignment="1">
      <alignment horizontal="right" vertical="center"/>
    </xf>
    <xf numFmtId="0" fontId="58" fillId="39" borderId="74" xfId="0" applyFont="1" applyFill="1" applyBorder="1" applyAlignment="1">
      <alignment horizontal="right" vertical="center" wrapText="1"/>
    </xf>
    <xf numFmtId="0" fontId="58" fillId="42" borderId="76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146" fillId="0" borderId="72" xfId="0" applyFont="1" applyBorder="1" applyAlignment="1">
      <alignment horizontal="right" vertical="center"/>
    </xf>
    <xf numFmtId="0" fontId="58" fillId="0" borderId="77" xfId="0" applyFont="1" applyBorder="1" applyAlignment="1">
      <alignment horizontal="right" vertical="center"/>
    </xf>
    <xf numFmtId="0" fontId="143" fillId="0" borderId="67" xfId="0" applyFont="1" applyBorder="1" applyAlignment="1">
      <alignment horizontal="right" vertical="center"/>
    </xf>
    <xf numFmtId="203" fontId="60" fillId="0" borderId="40" xfId="0" applyNumberFormat="1" applyFont="1" applyBorder="1" applyAlignment="1">
      <alignment horizontal="right" vertical="center"/>
    </xf>
    <xf numFmtId="0" fontId="63" fillId="41" borderId="41" xfId="0" applyFont="1" applyFill="1" applyBorder="1" applyAlignment="1">
      <alignment horizontal="right" vertical="center" wrapText="1"/>
    </xf>
    <xf numFmtId="0" fontId="9" fillId="35" borderId="64" xfId="0" applyFont="1" applyFill="1" applyBorder="1" applyAlignment="1">
      <alignment horizontal="center" vertical="center"/>
    </xf>
    <xf numFmtId="0" fontId="135" fillId="0" borderId="48" xfId="0" applyFont="1" applyBorder="1" applyAlignment="1">
      <alignment horizontal="center" vertical="center" wrapText="1"/>
    </xf>
    <xf numFmtId="0" fontId="135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2" fillId="11" borderId="72" xfId="0" applyFont="1" applyFill="1" applyBorder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131" fillId="35" borderId="49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131" fillId="0" borderId="0" xfId="0" applyFont="1" applyFill="1" applyAlignment="1">
      <alignment horizontal="right" vertical="center"/>
    </xf>
    <xf numFmtId="0" fontId="135" fillId="37" borderId="48" xfId="0" applyFont="1" applyFill="1" applyBorder="1" applyAlignment="1">
      <alignment horizontal="center" vertical="center" wrapText="1"/>
    </xf>
    <xf numFmtId="0" fontId="139" fillId="35" borderId="5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8" fillId="35" borderId="48" xfId="0" applyFont="1" applyFill="1" applyBorder="1" applyAlignment="1">
      <alignment horizontal="center" vertical="center" shrinkToFit="1"/>
    </xf>
    <xf numFmtId="0" fontId="6" fillId="35" borderId="48" xfId="65" applyFont="1" applyFill="1" applyBorder="1" applyAlignment="1">
      <alignment horizontal="center" vertical="center"/>
      <protection/>
    </xf>
    <xf numFmtId="0" fontId="139" fillId="35" borderId="48" xfId="0" applyFont="1" applyFill="1" applyBorder="1" applyAlignment="1">
      <alignment horizontal="center" vertical="center" wrapText="1"/>
    </xf>
    <xf numFmtId="0" fontId="139" fillId="0" borderId="48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right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76" fontId="130" fillId="0" borderId="38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7" fontId="130" fillId="0" borderId="38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3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31" fillId="0" borderId="4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3" fontId="142" fillId="35" borderId="27" xfId="41" applyNumberFormat="1" applyFont="1" applyFill="1" applyBorder="1" applyAlignment="1">
      <alignment horizontal="center" vertical="center" shrinkToFit="1"/>
      <protection/>
    </xf>
    <xf numFmtId="0" fontId="78" fillId="35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135" fillId="35" borderId="64" xfId="0" applyFont="1" applyFill="1" applyBorder="1" applyAlignment="1">
      <alignment horizontal="center" vertical="center"/>
    </xf>
    <xf numFmtId="0" fontId="135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/>
    </xf>
    <xf numFmtId="0" fontId="4" fillId="35" borderId="51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9" fillId="35" borderId="48" xfId="0" applyFont="1" applyFill="1" applyBorder="1" applyAlignment="1">
      <alignment horizontal="center" vertical="center"/>
    </xf>
    <xf numFmtId="0" fontId="58" fillId="35" borderId="0" xfId="0" applyFont="1" applyFill="1" applyAlignment="1">
      <alignment vertical="center"/>
    </xf>
    <xf numFmtId="0" fontId="59" fillId="35" borderId="0" xfId="0" applyFont="1" applyFill="1" applyAlignment="1">
      <alignment horizontal="right" vertical="center" wrapText="1"/>
    </xf>
    <xf numFmtId="0" fontId="60" fillId="35" borderId="0" xfId="0" applyFont="1" applyFill="1" applyAlignment="1">
      <alignment vertical="center"/>
    </xf>
    <xf numFmtId="0" fontId="58" fillId="35" borderId="0" xfId="0" applyFont="1" applyFill="1" applyAlignment="1">
      <alignment horizontal="right" vertical="center" wrapText="1"/>
    </xf>
    <xf numFmtId="0" fontId="58" fillId="35" borderId="0" xfId="0" applyFont="1" applyFill="1" applyAlignment="1">
      <alignment horizontal="right" vertical="center"/>
    </xf>
    <xf numFmtId="182" fontId="64" fillId="0" borderId="36" xfId="0" applyNumberFormat="1" applyFont="1" applyBorder="1" applyAlignment="1">
      <alignment vertical="center"/>
    </xf>
    <xf numFmtId="182" fontId="62" fillId="0" borderId="79" xfId="0" applyNumberFormat="1" applyFont="1" applyBorder="1" applyAlignment="1">
      <alignment vertical="center"/>
    </xf>
    <xf numFmtId="0" fontId="64" fillId="35" borderId="0" xfId="0" applyFont="1" applyFill="1" applyAlignment="1">
      <alignment horizontal="right" vertical="center" wrapText="1"/>
    </xf>
    <xf numFmtId="0" fontId="58" fillId="0" borderId="72" xfId="0" applyFont="1" applyBorder="1" applyAlignment="1">
      <alignment horizontal="right" vertical="center" wrapText="1"/>
    </xf>
    <xf numFmtId="0" fontId="147" fillId="0" borderId="72" xfId="0" applyFont="1" applyBorder="1" applyAlignment="1">
      <alignment horizontal="right" vertical="center"/>
    </xf>
    <xf numFmtId="0" fontId="58" fillId="0" borderId="65" xfId="0" applyFont="1" applyBorder="1" applyAlignment="1">
      <alignment horizontal="right" vertical="center"/>
    </xf>
    <xf numFmtId="0" fontId="144" fillId="35" borderId="0" xfId="0" applyFont="1" applyFill="1" applyAlignment="1">
      <alignment horizontal="right" vertical="center" wrapText="1"/>
    </xf>
    <xf numFmtId="0" fontId="63" fillId="35" borderId="0" xfId="0" applyFont="1" applyFill="1" applyAlignment="1">
      <alignment horizontal="right" vertical="center" wrapText="1"/>
    </xf>
    <xf numFmtId="0" fontId="64" fillId="0" borderId="67" xfId="0" applyFont="1" applyBorder="1" applyAlignment="1">
      <alignment horizontal="right" vertical="center"/>
    </xf>
    <xf numFmtId="0" fontId="58" fillId="0" borderId="80" xfId="0" applyFont="1" applyBorder="1" applyAlignment="1">
      <alignment horizontal="right" vertical="center"/>
    </xf>
    <xf numFmtId="0" fontId="64" fillId="0" borderId="76" xfId="0" applyFont="1" applyBorder="1" applyAlignment="1">
      <alignment horizontal="right" vertical="center"/>
    </xf>
    <xf numFmtId="182" fontId="64" fillId="0" borderId="64" xfId="0" applyNumberFormat="1" applyFont="1" applyBorder="1" applyAlignment="1">
      <alignment vertical="center"/>
    </xf>
    <xf numFmtId="182" fontId="62" fillId="0" borderId="65" xfId="0" applyNumberFormat="1" applyFont="1" applyBorder="1" applyAlignment="1">
      <alignment vertical="center"/>
    </xf>
    <xf numFmtId="0" fontId="148" fillId="0" borderId="67" xfId="0" applyFont="1" applyBorder="1" applyAlignment="1">
      <alignment horizontal="right" vertical="center"/>
    </xf>
    <xf numFmtId="0" fontId="58" fillId="0" borderId="46" xfId="0" applyFont="1" applyBorder="1" applyAlignment="1">
      <alignment horizontal="right" vertical="center"/>
    </xf>
    <xf numFmtId="0" fontId="147" fillId="0" borderId="67" xfId="0" applyFont="1" applyBorder="1" applyAlignment="1">
      <alignment horizontal="right" vertical="center"/>
    </xf>
    <xf numFmtId="0" fontId="64" fillId="0" borderId="71" xfId="0" applyFont="1" applyBorder="1" applyAlignment="1">
      <alignment horizontal="right" vertical="center"/>
    </xf>
    <xf numFmtId="0" fontId="66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right" vertical="center" wrapText="1"/>
    </xf>
    <xf numFmtId="0" fontId="145" fillId="35" borderId="0" xfId="0" applyFont="1" applyFill="1" applyAlignment="1">
      <alignment horizontal="right" vertical="center" wrapText="1"/>
    </xf>
    <xf numFmtId="0" fontId="64" fillId="35" borderId="0" xfId="0" applyFont="1" applyFill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78" fillId="35" borderId="29" xfId="0" applyFont="1" applyFill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184" fontId="149" fillId="0" borderId="36" xfId="0" applyNumberFormat="1" applyFont="1" applyBorder="1" applyAlignment="1">
      <alignment horizontal="center" vertical="center"/>
    </xf>
    <xf numFmtId="184" fontId="150" fillId="0" borderId="36" xfId="0" applyNumberFormat="1" applyFont="1" applyBorder="1" applyAlignment="1">
      <alignment horizontal="center" vertical="center"/>
    </xf>
    <xf numFmtId="182" fontId="53" fillId="0" borderId="36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176" fontId="4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178" fontId="4" fillId="0" borderId="32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  <xf numFmtId="180" fontId="4" fillId="0" borderId="81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33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16" fillId="35" borderId="32" xfId="68" applyFont="1" applyFill="1" applyBorder="1" applyAlignment="1">
      <alignment horizontal="center" vertical="center" wrapText="1"/>
      <protection/>
    </xf>
    <xf numFmtId="0" fontId="16" fillId="35" borderId="27" xfId="0" applyFont="1" applyFill="1" applyBorder="1" applyAlignment="1">
      <alignment horizontal="center" vertical="center" wrapText="1"/>
    </xf>
    <xf numFmtId="0" fontId="33" fillId="34" borderId="8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141" fillId="35" borderId="27" xfId="0" applyFont="1" applyFill="1" applyBorder="1" applyAlignment="1">
      <alignment horizontal="center" vertical="center" wrapText="1"/>
    </xf>
    <xf numFmtId="0" fontId="141" fillId="35" borderId="3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16" fillId="35" borderId="67" xfId="0" applyFont="1" applyFill="1" applyBorder="1" applyAlignment="1">
      <alignment horizontal="center" vertical="center" wrapText="1"/>
    </xf>
    <xf numFmtId="0" fontId="6" fillId="35" borderId="80" xfId="0" applyFont="1" applyFill="1" applyBorder="1" applyAlignment="1">
      <alignment horizontal="center" vertical="center" wrapText="1"/>
    </xf>
    <xf numFmtId="0" fontId="16" fillId="35" borderId="72" xfId="0" applyFont="1" applyFill="1" applyBorder="1" applyAlignment="1">
      <alignment horizontal="center" vertical="center" wrapText="1"/>
    </xf>
    <xf numFmtId="0" fontId="151" fillId="35" borderId="52" xfId="0" applyFont="1" applyFill="1" applyBorder="1" applyAlignment="1">
      <alignment horizontal="center" vertical="center" wrapText="1"/>
    </xf>
    <xf numFmtId="0" fontId="151" fillId="35" borderId="40" xfId="0" applyFont="1" applyFill="1" applyBorder="1" applyAlignment="1">
      <alignment horizontal="center" vertical="center" wrapText="1"/>
    </xf>
    <xf numFmtId="0" fontId="151" fillId="35" borderId="72" xfId="0" applyFont="1" applyFill="1" applyBorder="1" applyAlignment="1">
      <alignment horizontal="center" vertical="center" wrapText="1"/>
    </xf>
    <xf numFmtId="0" fontId="6" fillId="34" borderId="9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9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/>
    </xf>
    <xf numFmtId="0" fontId="5" fillId="34" borderId="91" xfId="0" applyFont="1" applyFill="1" applyBorder="1" applyAlignment="1">
      <alignment horizontal="center" vertical="center"/>
    </xf>
    <xf numFmtId="0" fontId="5" fillId="34" borderId="95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135" fillId="35" borderId="59" xfId="0" applyFont="1" applyFill="1" applyBorder="1" applyAlignment="1">
      <alignment horizontal="center" vertical="center" wrapText="1"/>
    </xf>
    <xf numFmtId="0" fontId="135" fillId="35" borderId="60" xfId="0" applyFont="1" applyFill="1" applyBorder="1" applyAlignment="1">
      <alignment horizontal="center" vertical="center" wrapText="1"/>
    </xf>
    <xf numFmtId="0" fontId="135" fillId="35" borderId="61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99" xfId="0" applyFont="1" applyFill="1" applyBorder="1" applyAlignment="1">
      <alignment horizontal="center" vertical="center" wrapText="1"/>
    </xf>
    <xf numFmtId="0" fontId="151" fillId="35" borderId="15" xfId="0" applyFont="1" applyFill="1" applyBorder="1" applyAlignment="1">
      <alignment horizontal="center" vertical="center" wrapText="1"/>
    </xf>
    <xf numFmtId="0" fontId="151" fillId="35" borderId="51" xfId="0" applyFont="1" applyFill="1" applyBorder="1" applyAlignment="1">
      <alignment horizontal="center" vertical="center" wrapText="1"/>
    </xf>
    <xf numFmtId="0" fontId="151" fillId="35" borderId="80" xfId="0" applyFont="1" applyFill="1" applyBorder="1" applyAlignment="1">
      <alignment horizontal="center" vertical="center" wrapText="1"/>
    </xf>
    <xf numFmtId="0" fontId="151" fillId="35" borderId="64" xfId="0" applyFont="1" applyFill="1" applyBorder="1" applyAlignment="1">
      <alignment horizontal="center" vertical="center" wrapText="1"/>
    </xf>
    <xf numFmtId="0" fontId="151" fillId="35" borderId="65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1" fillId="35" borderId="72" xfId="0" applyFont="1" applyFill="1" applyBorder="1" applyAlignment="1">
      <alignment horizontal="center" vertical="center" wrapText="1"/>
    </xf>
    <xf numFmtId="180" fontId="4" fillId="0" borderId="69" xfId="0" applyNumberFormat="1" applyFont="1" applyFill="1" applyBorder="1" applyAlignment="1">
      <alignment horizontal="center" vertical="center"/>
    </xf>
    <xf numFmtId="180" fontId="4" fillId="0" borderId="100" xfId="0" applyNumberFormat="1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textRotation="255"/>
    </xf>
    <xf numFmtId="0" fontId="139" fillId="35" borderId="50" xfId="72" applyFont="1" applyFill="1" applyBorder="1" applyAlignment="1">
      <alignment horizontal="center" vertical="center"/>
      <protection/>
    </xf>
    <xf numFmtId="0" fontId="139" fillId="35" borderId="48" xfId="72" applyFont="1" applyFill="1" applyBorder="1" applyAlignment="1">
      <alignment horizontal="center" vertical="center"/>
      <protection/>
    </xf>
    <xf numFmtId="0" fontId="139" fillId="35" borderId="49" xfId="72" applyFont="1" applyFill="1" applyBorder="1" applyAlignment="1">
      <alignment horizontal="center" vertical="center"/>
      <protection/>
    </xf>
    <xf numFmtId="0" fontId="16" fillId="35" borderId="101" xfId="68" applyFont="1" applyFill="1" applyBorder="1" applyAlignment="1">
      <alignment horizontal="center" vertical="center" wrapText="1"/>
      <protection/>
    </xf>
    <xf numFmtId="0" fontId="33" fillId="0" borderId="102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0" fontId="6" fillId="35" borderId="9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33" fillId="34" borderId="104" xfId="0" applyFont="1" applyFill="1" applyBorder="1" applyAlignment="1">
      <alignment horizontal="center" vertical="center"/>
    </xf>
    <xf numFmtId="0" fontId="33" fillId="34" borderId="105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center" vertical="center"/>
    </xf>
    <xf numFmtId="178" fontId="4" fillId="0" borderId="69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177" fontId="4" fillId="0" borderId="69" xfId="0" applyNumberFormat="1" applyFont="1" applyFill="1" applyBorder="1" applyAlignment="1">
      <alignment horizontal="center" vertical="center"/>
    </xf>
    <xf numFmtId="0" fontId="147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152" fillId="0" borderId="0" xfId="0" applyFont="1" applyAlignment="1">
      <alignment horizontal="left" vertical="center" wrapText="1"/>
    </xf>
    <xf numFmtId="182" fontId="58" fillId="0" borderId="0" xfId="0" applyNumberFormat="1" applyFont="1" applyBorder="1" applyAlignment="1">
      <alignment horizontal="center" vertical="center"/>
    </xf>
    <xf numFmtId="182" fontId="58" fillId="0" borderId="41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58" fillId="35" borderId="0" xfId="0" applyFont="1" applyFill="1" applyAlignment="1">
      <alignment horizontal="right" vertical="center" wrapText="1"/>
    </xf>
    <xf numFmtId="0" fontId="57" fillId="35" borderId="0" xfId="0" applyFont="1" applyFill="1" applyAlignment="1">
      <alignment vertical="center"/>
    </xf>
    <xf numFmtId="182" fontId="60" fillId="0" borderId="47" xfId="0" applyNumberFormat="1" applyFont="1" applyBorder="1" applyAlignment="1">
      <alignment horizontal="center" vertical="center"/>
    </xf>
    <xf numFmtId="182" fontId="60" fillId="0" borderId="107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38" borderId="108" xfId="0" applyFont="1" applyFill="1" applyBorder="1" applyAlignment="1">
      <alignment horizontal="center" vertical="center"/>
    </xf>
    <xf numFmtId="0" fontId="58" fillId="38" borderId="100" xfId="0" applyFont="1" applyFill="1" applyBorder="1" applyAlignment="1">
      <alignment horizontal="center" vertical="center"/>
    </xf>
    <xf numFmtId="182" fontId="60" fillId="0" borderId="0" xfId="0" applyNumberFormat="1" applyFont="1" applyBorder="1" applyAlignment="1">
      <alignment horizontal="center" vertical="center"/>
    </xf>
    <xf numFmtId="182" fontId="60" fillId="0" borderId="4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11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7" fillId="33" borderId="1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7" fillId="0" borderId="0" xfId="35" applyFont="1" applyBorder="1" applyAlignment="1">
      <alignment horizontal="center" vertical="top"/>
      <protection/>
    </xf>
    <xf numFmtId="0" fontId="27" fillId="0" borderId="18" xfId="35" applyFont="1" applyBorder="1" applyAlignment="1">
      <alignment horizontal="center" vertical="top"/>
      <protection/>
    </xf>
    <xf numFmtId="0" fontId="25" fillId="33" borderId="11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5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7" fillId="33" borderId="114" xfId="0" applyFont="1" applyFill="1" applyBorder="1" applyAlignment="1">
      <alignment horizontal="center" vertical="center"/>
    </xf>
    <xf numFmtId="0" fontId="18" fillId="33" borderId="114" xfId="0" applyFont="1" applyFill="1" applyBorder="1" applyAlignment="1">
      <alignment horizontal="center" vertical="center"/>
    </xf>
    <xf numFmtId="0" fontId="18" fillId="33" borderId="11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</cellXfs>
  <cellStyles count="9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2" xfId="35"/>
    <cellStyle name="一般 2 2" xfId="36"/>
    <cellStyle name="一般 2 2 2" xfId="37"/>
    <cellStyle name="一般 2 2 2 2" xfId="38"/>
    <cellStyle name="一般 2 2 2 3 2 2" xfId="39"/>
    <cellStyle name="一般 2 3" xfId="40"/>
    <cellStyle name="一般 2 4" xfId="41"/>
    <cellStyle name="一般 2 7" xfId="42"/>
    <cellStyle name="一般 2 9" xfId="43"/>
    <cellStyle name="一般 3" xfId="44"/>
    <cellStyle name="一般 3 2" xfId="45"/>
    <cellStyle name="一般 3 2 2" xfId="46"/>
    <cellStyle name="一般 3 2 3" xfId="47"/>
    <cellStyle name="一般 3 2 3 3" xfId="48"/>
    <cellStyle name="一般 3 2 4 2" xfId="49"/>
    <cellStyle name="一般 3 3 2" xfId="50"/>
    <cellStyle name="一般 3 3 2 4" xfId="51"/>
    <cellStyle name="一般 4" xfId="52"/>
    <cellStyle name="一般 4 2" xfId="53"/>
    <cellStyle name="一般 4 2 3 2" xfId="54"/>
    <cellStyle name="一般 4 2_大竹.新莊菜單103下W5 2" xfId="55"/>
    <cellStyle name="一般 4 3" xfId="56"/>
    <cellStyle name="一般 4 4" xfId="57"/>
    <cellStyle name="一般 4 5" xfId="58"/>
    <cellStyle name="一般 4 6" xfId="59"/>
    <cellStyle name="一般 4 7" xfId="60"/>
    <cellStyle name="一般 4 8" xfId="61"/>
    <cellStyle name="一般 4 9" xfId="62"/>
    <cellStyle name="一般 4_大竹.新莊菜單103下W5 2" xfId="63"/>
    <cellStyle name="一般 5" xfId="64"/>
    <cellStyle name="一般 6" xfId="65"/>
    <cellStyle name="一般 6 2" xfId="66"/>
    <cellStyle name="一般 6 3" xfId="67"/>
    <cellStyle name="一般 7" xfId="68"/>
    <cellStyle name="一般 7 3" xfId="69"/>
    <cellStyle name="一般 7 3 2" xfId="70"/>
    <cellStyle name="一般 8" xfId="71"/>
    <cellStyle name="一般 8 2" xfId="72"/>
    <cellStyle name="一般 9" xfId="73"/>
    <cellStyle name="Comma" xfId="74"/>
    <cellStyle name="千分位 2" xfId="75"/>
    <cellStyle name="千分位 2 2" xfId="76"/>
    <cellStyle name="千分位 2 2 2" xfId="77"/>
    <cellStyle name="千分位 2 3" xfId="78"/>
    <cellStyle name="Comma [0]" xfId="79"/>
    <cellStyle name="中等" xfId="80"/>
    <cellStyle name="合計" xfId="81"/>
    <cellStyle name="好" xfId="82"/>
    <cellStyle name="Percent" xfId="83"/>
    <cellStyle name="百分比 2" xfId="84"/>
    <cellStyle name="百分比 2 2" xfId="85"/>
    <cellStyle name="計算方式" xfId="86"/>
    <cellStyle name="Currency" xfId="87"/>
    <cellStyle name="Currency [0]" xfId="88"/>
    <cellStyle name="連結的儲存格" xfId="89"/>
    <cellStyle name="備註" xfId="90"/>
    <cellStyle name="說明文字" xfId="91"/>
    <cellStyle name="輔色1" xfId="92"/>
    <cellStyle name="輔色1 2" xfId="93"/>
    <cellStyle name="輔色2" xfId="94"/>
    <cellStyle name="輔色3" xfId="95"/>
    <cellStyle name="輔色4" xfId="96"/>
    <cellStyle name="輔色5" xfId="97"/>
    <cellStyle name="輔色6" xfId="98"/>
    <cellStyle name="標題" xfId="99"/>
    <cellStyle name="標題 1" xfId="100"/>
    <cellStyle name="標題 2" xfId="101"/>
    <cellStyle name="標題 3" xfId="102"/>
    <cellStyle name="標題 4" xfId="103"/>
    <cellStyle name="輸入" xfId="104"/>
    <cellStyle name="輸出" xfId="105"/>
    <cellStyle name="檢查儲存格" xfId="106"/>
    <cellStyle name="壞" xfId="107"/>
    <cellStyle name="警告文字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3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66675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7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66675</xdr:rowOff>
    </xdr:to>
    <xdr:pic>
      <xdr:nvPicPr>
        <xdr:cNvPr id="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10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12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14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37</xdr:row>
      <xdr:rowOff>38100</xdr:rowOff>
    </xdr:from>
    <xdr:to>
      <xdr:col>2</xdr:col>
      <xdr:colOff>2305050</xdr:colOff>
      <xdr:row>43</xdr:row>
      <xdr:rowOff>57150</xdr:rowOff>
    </xdr:to>
    <xdr:pic>
      <xdr:nvPicPr>
        <xdr:cNvPr id="16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1981200" y="17287875"/>
          <a:ext cx="5200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76200</xdr:rowOff>
    </xdr:from>
    <xdr:to>
      <xdr:col>7</xdr:col>
      <xdr:colOff>619125</xdr:colOff>
      <xdr:row>43</xdr:row>
      <xdr:rowOff>76200</xdr:rowOff>
    </xdr:to>
    <xdr:pic>
      <xdr:nvPicPr>
        <xdr:cNvPr id="17" name="圖片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5535275"/>
          <a:ext cx="159448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381000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01900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2295525</xdr:colOff>
      <xdr:row>36</xdr:row>
      <xdr:rowOff>390525</xdr:rowOff>
    </xdr:from>
    <xdr:to>
      <xdr:col>2</xdr:col>
      <xdr:colOff>2286000</xdr:colOff>
      <xdr:row>42</xdr:row>
      <xdr:rowOff>247650</xdr:rowOff>
    </xdr:to>
    <xdr:pic>
      <xdr:nvPicPr>
        <xdr:cNvPr id="21" name="Picture 19" descr="白紫米比較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979" t="25544" r="14872" b="23947"/>
        <a:stretch>
          <a:fillRect/>
        </a:stretch>
      </xdr:blipFill>
      <xdr:spPr>
        <a:xfrm>
          <a:off x="2295525" y="17192625"/>
          <a:ext cx="4867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2</xdr:row>
      <xdr:rowOff>161925</xdr:rowOff>
    </xdr:from>
    <xdr:to>
      <xdr:col>15</xdr:col>
      <xdr:colOff>390525</xdr:colOff>
      <xdr:row>3</xdr:row>
      <xdr:rowOff>228600</xdr:rowOff>
    </xdr:to>
    <xdr:pic>
      <xdr:nvPicPr>
        <xdr:cNvPr id="2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97850" y="17430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</xdr:row>
      <xdr:rowOff>219075</xdr:rowOff>
    </xdr:from>
    <xdr:to>
      <xdr:col>14</xdr:col>
      <xdr:colOff>276225</xdr:colOff>
      <xdr:row>4</xdr:row>
      <xdr:rowOff>285750</xdr:rowOff>
    </xdr:to>
    <xdr:pic>
      <xdr:nvPicPr>
        <xdr:cNvPr id="2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22479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3</xdr:row>
      <xdr:rowOff>142875</xdr:rowOff>
    </xdr:from>
    <xdr:to>
      <xdr:col>22</xdr:col>
      <xdr:colOff>257175</xdr:colOff>
      <xdr:row>4</xdr:row>
      <xdr:rowOff>209550</xdr:rowOff>
    </xdr:to>
    <xdr:pic>
      <xdr:nvPicPr>
        <xdr:cNvPr id="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74625" y="2171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3</xdr:row>
      <xdr:rowOff>285750</xdr:rowOff>
    </xdr:from>
    <xdr:to>
      <xdr:col>19</xdr:col>
      <xdr:colOff>323850</xdr:colOff>
      <xdr:row>4</xdr:row>
      <xdr:rowOff>352425</xdr:rowOff>
    </xdr:to>
    <xdr:pic>
      <xdr:nvPicPr>
        <xdr:cNvPr id="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83900" y="23145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4</xdr:row>
      <xdr:rowOff>76200</xdr:rowOff>
    </xdr:from>
    <xdr:to>
      <xdr:col>19</xdr:col>
      <xdr:colOff>514350</xdr:colOff>
      <xdr:row>5</xdr:row>
      <xdr:rowOff>142875</xdr:rowOff>
    </xdr:to>
    <xdr:pic>
      <xdr:nvPicPr>
        <xdr:cNvPr id="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2552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457200</xdr:colOff>
      <xdr:row>4</xdr:row>
      <xdr:rowOff>0</xdr:rowOff>
    </xdr:from>
    <xdr:to>
      <xdr:col>19</xdr:col>
      <xdr:colOff>485775</xdr:colOff>
      <xdr:row>5</xdr:row>
      <xdr:rowOff>66675</xdr:rowOff>
    </xdr:to>
    <xdr:pic>
      <xdr:nvPicPr>
        <xdr:cNvPr id="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36300" y="24765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57150</xdr:rowOff>
    </xdr:to>
    <xdr:pic>
      <xdr:nvPicPr>
        <xdr:cNvPr id="1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704850</xdr:colOff>
      <xdr:row>6</xdr:row>
      <xdr:rowOff>57150</xdr:rowOff>
    </xdr:to>
    <xdr:pic>
      <xdr:nvPicPr>
        <xdr:cNvPr id="1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19050</xdr:rowOff>
    </xdr:to>
    <xdr:pic>
      <xdr:nvPicPr>
        <xdr:cNvPr id="1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19050</xdr:rowOff>
    </xdr:to>
    <xdr:pic>
      <xdr:nvPicPr>
        <xdr:cNvPr id="1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19050</xdr:rowOff>
    </xdr:to>
    <xdr:pic>
      <xdr:nvPicPr>
        <xdr:cNvPr id="1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0</xdr:rowOff>
    </xdr:to>
    <xdr:pic>
      <xdr:nvPicPr>
        <xdr:cNvPr id="1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29241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1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0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2</xdr:row>
      <xdr:rowOff>161925</xdr:rowOff>
    </xdr:from>
    <xdr:to>
      <xdr:col>15</xdr:col>
      <xdr:colOff>390525</xdr:colOff>
      <xdr:row>3</xdr:row>
      <xdr:rowOff>228600</xdr:rowOff>
    </xdr:to>
    <xdr:pic>
      <xdr:nvPicPr>
        <xdr:cNvPr id="2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97850" y="17430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</xdr:row>
      <xdr:rowOff>219075</xdr:rowOff>
    </xdr:from>
    <xdr:to>
      <xdr:col>14</xdr:col>
      <xdr:colOff>276225</xdr:colOff>
      <xdr:row>4</xdr:row>
      <xdr:rowOff>285750</xdr:rowOff>
    </xdr:to>
    <xdr:pic>
      <xdr:nvPicPr>
        <xdr:cNvPr id="2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07275" y="22479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3</xdr:row>
      <xdr:rowOff>142875</xdr:rowOff>
    </xdr:from>
    <xdr:to>
      <xdr:col>22</xdr:col>
      <xdr:colOff>257175</xdr:colOff>
      <xdr:row>4</xdr:row>
      <xdr:rowOff>209550</xdr:rowOff>
    </xdr:to>
    <xdr:pic>
      <xdr:nvPicPr>
        <xdr:cNvPr id="2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74625" y="2171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3</xdr:row>
      <xdr:rowOff>285750</xdr:rowOff>
    </xdr:from>
    <xdr:to>
      <xdr:col>19</xdr:col>
      <xdr:colOff>323850</xdr:colOff>
      <xdr:row>4</xdr:row>
      <xdr:rowOff>352425</xdr:rowOff>
    </xdr:to>
    <xdr:pic>
      <xdr:nvPicPr>
        <xdr:cNvPr id="2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83900" y="23145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4</xdr:row>
      <xdr:rowOff>76200</xdr:rowOff>
    </xdr:from>
    <xdr:to>
      <xdr:col>19</xdr:col>
      <xdr:colOff>514350</xdr:colOff>
      <xdr:row>5</xdr:row>
      <xdr:rowOff>142875</xdr:rowOff>
    </xdr:to>
    <xdr:pic>
      <xdr:nvPicPr>
        <xdr:cNvPr id="2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2552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457200</xdr:colOff>
      <xdr:row>4</xdr:row>
      <xdr:rowOff>0</xdr:rowOff>
    </xdr:from>
    <xdr:to>
      <xdr:col>19</xdr:col>
      <xdr:colOff>485775</xdr:colOff>
      <xdr:row>5</xdr:row>
      <xdr:rowOff>66675</xdr:rowOff>
    </xdr:to>
    <xdr:pic>
      <xdr:nvPicPr>
        <xdr:cNvPr id="2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36300" y="24765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19050</xdr:colOff>
      <xdr:row>7</xdr:row>
      <xdr:rowOff>66675</xdr:rowOff>
    </xdr:to>
    <xdr:pic>
      <xdr:nvPicPr>
        <xdr:cNvPr id="2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33718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23416;&#24180;&#20689;&#24859;&#21697;&#28147;09.30\&#33756;&#21934;0901\105&#23416;&#24180;\11&#26376;\&#20689;&#24859;110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8&#23416;&#24180;&#20689;&#24859;&#21697;&#28147;09.30\&#33756;&#21934;0901\105&#23416;&#24180;\11&#26376;\&#20689;&#24859;110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20689;&#24859;1102&#27491;&#30906;(&#25209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5105;&#30340;&#38642;&#31471;&#30828;&#30879;\&#33756;&#21934;\111&#23416;&#24180;\10&#26376;\&#21320;&#39184;\&#20689;&#24859;10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11月"/>
      <sheetName val="1五日誌"/>
      <sheetName val="2一"/>
      <sheetName val="2二"/>
      <sheetName val="2三"/>
      <sheetName val="2四"/>
      <sheetName val="2五"/>
      <sheetName val="1一日誌"/>
      <sheetName val="1二日誌"/>
      <sheetName val="1三日誌"/>
      <sheetName val="1四日誌"/>
    </sheetNames>
    <sheetDataSet>
      <sheetData sheetId="1">
        <row r="30">
          <cell r="AJ30">
            <v>5.16</v>
          </cell>
        </row>
        <row r="31">
          <cell r="AJ31">
            <v>2.26</v>
          </cell>
        </row>
        <row r="32">
          <cell r="AJ32">
            <v>1.58</v>
          </cell>
        </row>
        <row r="33">
          <cell r="AJ33">
            <v>2.5</v>
          </cell>
        </row>
        <row r="34">
          <cell r="AJ34">
            <v>0.2</v>
          </cell>
        </row>
        <row r="35">
          <cell r="AJ35">
            <v>694.7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三周"/>
      <sheetName val="第四周"/>
      <sheetName val="11月總表"/>
      <sheetName val="3一日誌"/>
      <sheetName val="3二日誌"/>
      <sheetName val="3三日誌"/>
      <sheetName val="3四日誌"/>
      <sheetName val="3五日誌"/>
      <sheetName val="3六日誌"/>
      <sheetName val="4一"/>
      <sheetName val="4二"/>
      <sheetName val="4三"/>
      <sheetName val="4四"/>
      <sheetName val="4五"/>
    </sheetNames>
    <sheetDataSet>
      <sheetData sheetId="0">
        <row r="30">
          <cell r="AJ30">
            <v>4.2</v>
          </cell>
        </row>
        <row r="31">
          <cell r="AJ31">
            <v>2.12</v>
          </cell>
        </row>
        <row r="32">
          <cell r="AJ32">
            <v>1.3199999999999998</v>
          </cell>
        </row>
        <row r="33">
          <cell r="AJ33">
            <v>2.5</v>
          </cell>
        </row>
        <row r="35">
          <cell r="AJ35">
            <v>610.5</v>
          </cell>
        </row>
      </sheetData>
      <sheetData sheetId="1">
        <row r="30">
          <cell r="AJ30">
            <v>4.34</v>
          </cell>
        </row>
        <row r="31">
          <cell r="AJ31">
            <v>2.32</v>
          </cell>
        </row>
        <row r="32">
          <cell r="AJ32">
            <v>1.28</v>
          </cell>
        </row>
        <row r="33">
          <cell r="AJ33">
            <v>2.5</v>
          </cell>
        </row>
        <row r="35">
          <cell r="AJ35">
            <v>644.7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11月"/>
      <sheetName val="1一日誌"/>
      <sheetName val="1二日誌"/>
      <sheetName val="1三日誌"/>
      <sheetName val="1四日誌"/>
      <sheetName val="1五日誌"/>
      <sheetName val="2一"/>
      <sheetName val="2二"/>
      <sheetName val="2三"/>
      <sheetName val="2四"/>
      <sheetName val="2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三周"/>
      <sheetName val="第四周"/>
      <sheetName val="10月"/>
      <sheetName val="3一日誌"/>
      <sheetName val="3二日誌"/>
      <sheetName val="3三日誌"/>
      <sheetName val="3四日誌"/>
      <sheetName val="3五日誌"/>
      <sheetName val="3六日誌"/>
      <sheetName val="4一"/>
      <sheetName val="4二"/>
      <sheetName val="4三"/>
      <sheetName val="4四"/>
      <sheetName val="4五"/>
    </sheetNames>
    <sheetDataSet>
      <sheetData sheetId="1">
        <row r="1">
          <cell r="L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="90" zoomScaleNormal="75" zoomScaleSheetLayoutView="90" zoomScalePageLayoutView="0" workbookViewId="0" topLeftCell="A1">
      <selection activeCell="O22" sqref="L17:O24"/>
    </sheetView>
  </sheetViews>
  <sheetFormatPr defaultColWidth="6.125" defaultRowHeight="22.5" customHeight="1"/>
  <cols>
    <col min="1" max="1" width="4.375" style="399" customWidth="1"/>
    <col min="2" max="2" width="17.125" style="400" customWidth="1"/>
    <col min="3" max="3" width="5.625" style="401" hidden="1" customWidth="1"/>
    <col min="4" max="4" width="6.00390625" style="401" customWidth="1"/>
    <col min="5" max="5" width="4.125" style="401" customWidth="1"/>
    <col min="6" max="6" width="5.625" style="402" hidden="1" customWidth="1"/>
    <col min="7" max="7" width="8.125" style="403" hidden="1" customWidth="1"/>
    <col min="8" max="8" width="4.50390625" style="399" customWidth="1"/>
    <col min="9" max="9" width="17.00390625" style="400" customWidth="1"/>
    <col min="10" max="10" width="5.625" style="401" hidden="1" customWidth="1"/>
    <col min="11" max="11" width="6.00390625" style="401" customWidth="1"/>
    <col min="12" max="12" width="4.125" style="401" customWidth="1"/>
    <col min="13" max="13" width="5.625" style="404" hidden="1" customWidth="1"/>
    <col min="14" max="14" width="8.50390625" style="403" hidden="1" customWidth="1"/>
    <col min="15" max="15" width="4.50390625" style="121" customWidth="1"/>
    <col min="16" max="16" width="17.125" style="119" customWidth="1"/>
    <col min="17" max="17" width="5.625" style="120" hidden="1" customWidth="1"/>
    <col min="18" max="18" width="6.00390625" style="120" customWidth="1"/>
    <col min="19" max="19" width="4.125" style="120" customWidth="1"/>
    <col min="20" max="20" width="5.625" style="141" hidden="1" customWidth="1"/>
    <col min="21" max="21" width="5.75390625" style="123" hidden="1" customWidth="1"/>
    <col min="22" max="22" width="4.50390625" style="124" customWidth="1"/>
    <col min="23" max="23" width="17.125" style="119" customWidth="1"/>
    <col min="24" max="24" width="5.625" style="120" hidden="1" customWidth="1"/>
    <col min="25" max="25" width="6.00390625" style="120" customWidth="1"/>
    <col min="26" max="26" width="4.125" style="120" customWidth="1"/>
    <col min="27" max="27" width="5.625" style="141" hidden="1" customWidth="1"/>
    <col min="28" max="28" width="6.625" style="123" hidden="1" customWidth="1"/>
    <col min="29" max="29" width="4.50390625" style="121" customWidth="1"/>
    <col min="30" max="30" width="17.125" style="119" customWidth="1"/>
    <col min="31" max="31" width="5.625" style="120" hidden="1" customWidth="1"/>
    <col min="32" max="32" width="6.00390625" style="120" customWidth="1"/>
    <col min="33" max="33" width="4.125" style="120" customWidth="1"/>
    <col min="34" max="34" width="5.625" style="257" hidden="1" customWidth="1"/>
    <col min="35" max="35" width="9.50390625" style="123" hidden="1" customWidth="1"/>
    <col min="36" max="36" width="8.625" style="126" customWidth="1"/>
    <col min="37" max="37" width="6.125" style="126" customWidth="1"/>
    <col min="38" max="16384" width="6.125" style="126" customWidth="1"/>
  </cols>
  <sheetData>
    <row r="1" spans="1:36" s="248" customFormat="1" ht="18.75" customHeight="1">
      <c r="A1" s="442" t="s">
        <v>445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93">
        <f>'[4]第四周'!$L$1+1</f>
        <v>10</v>
      </c>
      <c r="M1" s="443" t="s">
        <v>362</v>
      </c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4" t="s">
        <v>201</v>
      </c>
      <c r="Z1" s="445"/>
      <c r="AA1" s="445"/>
      <c r="AB1" s="446">
        <f>AJ29</f>
        <v>231855</v>
      </c>
      <c r="AC1" s="447"/>
      <c r="AD1" s="94" t="s">
        <v>0</v>
      </c>
      <c r="AE1" s="451">
        <v>1450</v>
      </c>
      <c r="AF1" s="451"/>
      <c r="AG1" s="451"/>
      <c r="AH1" s="363"/>
      <c r="AI1" s="246"/>
      <c r="AJ1" s="247"/>
    </row>
    <row r="2" spans="1:35" s="98" customFormat="1" ht="18.75" customHeight="1">
      <c r="A2" s="452" t="s">
        <v>1</v>
      </c>
      <c r="B2" s="454">
        <v>45229</v>
      </c>
      <c r="C2" s="454"/>
      <c r="D2" s="454"/>
      <c r="E2" s="454"/>
      <c r="F2" s="376"/>
      <c r="G2" s="377"/>
      <c r="H2" s="452" t="s">
        <v>1</v>
      </c>
      <c r="I2" s="455">
        <f>B2+1</f>
        <v>45230</v>
      </c>
      <c r="J2" s="455"/>
      <c r="K2" s="455"/>
      <c r="L2" s="455"/>
      <c r="M2" s="378"/>
      <c r="N2" s="379"/>
      <c r="O2" s="456" t="s">
        <v>1</v>
      </c>
      <c r="P2" s="458">
        <f>I2+1</f>
        <v>45231</v>
      </c>
      <c r="Q2" s="458"/>
      <c r="R2" s="458"/>
      <c r="S2" s="458"/>
      <c r="T2" s="127"/>
      <c r="U2" s="95"/>
      <c r="V2" s="456" t="s">
        <v>1</v>
      </c>
      <c r="W2" s="459">
        <f>P2+1</f>
        <v>45232</v>
      </c>
      <c r="X2" s="459"/>
      <c r="Y2" s="459"/>
      <c r="Z2" s="459"/>
      <c r="AA2" s="128"/>
      <c r="AB2" s="96"/>
      <c r="AC2" s="456" t="s">
        <v>1</v>
      </c>
      <c r="AD2" s="460">
        <f>W2+1</f>
        <v>45233</v>
      </c>
      <c r="AE2" s="460"/>
      <c r="AF2" s="460"/>
      <c r="AG2" s="461"/>
      <c r="AH2" s="228"/>
      <c r="AI2" s="97"/>
    </row>
    <row r="3" spans="1:35" s="98" customFormat="1" ht="18.75" customHeight="1" hidden="1">
      <c r="A3" s="452"/>
      <c r="B3" s="380" t="s">
        <v>2</v>
      </c>
      <c r="C3" s="381" t="s">
        <v>209</v>
      </c>
      <c r="D3" s="382" t="s">
        <v>3</v>
      </c>
      <c r="E3" s="382" t="s">
        <v>4</v>
      </c>
      <c r="F3" s="383" t="s">
        <v>5</v>
      </c>
      <c r="G3" s="384" t="s">
        <v>6</v>
      </c>
      <c r="H3" s="452"/>
      <c r="I3" s="380" t="s">
        <v>2</v>
      </c>
      <c r="J3" s="381" t="s">
        <v>209</v>
      </c>
      <c r="K3" s="382" t="s">
        <v>3</v>
      </c>
      <c r="L3" s="382" t="s">
        <v>4</v>
      </c>
      <c r="M3" s="383" t="s">
        <v>5</v>
      </c>
      <c r="N3" s="384" t="s">
        <v>6</v>
      </c>
      <c r="O3" s="456"/>
      <c r="P3" s="236" t="s">
        <v>2</v>
      </c>
      <c r="Q3" s="237" t="s">
        <v>209</v>
      </c>
      <c r="R3" s="238" t="s">
        <v>3</v>
      </c>
      <c r="S3" s="238" t="s">
        <v>4</v>
      </c>
      <c r="T3" s="129" t="s">
        <v>5</v>
      </c>
      <c r="U3" s="86" t="s">
        <v>6</v>
      </c>
      <c r="V3" s="456"/>
      <c r="W3" s="236" t="s">
        <v>2</v>
      </c>
      <c r="X3" s="237" t="s">
        <v>209</v>
      </c>
      <c r="Y3" s="238" t="s">
        <v>3</v>
      </c>
      <c r="Z3" s="238" t="s">
        <v>4</v>
      </c>
      <c r="AA3" s="129" t="s">
        <v>5</v>
      </c>
      <c r="AB3" s="86" t="s">
        <v>6</v>
      </c>
      <c r="AC3" s="456"/>
      <c r="AD3" s="236" t="s">
        <v>2</v>
      </c>
      <c r="AE3" s="237" t="s">
        <v>209</v>
      </c>
      <c r="AF3" s="238" t="s">
        <v>3</v>
      </c>
      <c r="AG3" s="239" t="s">
        <v>4</v>
      </c>
      <c r="AH3" s="229" t="s">
        <v>5</v>
      </c>
      <c r="AI3" s="86" t="s">
        <v>6</v>
      </c>
    </row>
    <row r="4" spans="1:35" s="101" customFormat="1" ht="18.75" customHeight="1">
      <c r="A4" s="453"/>
      <c r="B4" s="439" t="str">
        <f>'11月'!A4</f>
        <v>藜麥飯</v>
      </c>
      <c r="C4" s="440"/>
      <c r="D4" s="440">
        <f>AE1</f>
        <v>1450</v>
      </c>
      <c r="E4" s="441"/>
      <c r="F4" s="386"/>
      <c r="G4" s="387"/>
      <c r="H4" s="453"/>
      <c r="I4" s="439" t="str">
        <f>'11月'!B4</f>
        <v>糙米飯</v>
      </c>
      <c r="J4" s="440"/>
      <c r="K4" s="440">
        <f>AE1</f>
        <v>1450</v>
      </c>
      <c r="L4" s="441"/>
      <c r="M4" s="386"/>
      <c r="N4" s="387"/>
      <c r="O4" s="457"/>
      <c r="P4" s="448" t="s">
        <v>7</v>
      </c>
      <c r="Q4" s="449"/>
      <c r="R4" s="449">
        <f>AE1</f>
        <v>1450</v>
      </c>
      <c r="S4" s="450"/>
      <c r="T4" s="243"/>
      <c r="U4" s="87"/>
      <c r="V4" s="457"/>
      <c r="W4" s="448" t="str">
        <f>'11月'!D4</f>
        <v>糙米飯</v>
      </c>
      <c r="X4" s="449"/>
      <c r="Y4" s="449">
        <f>AE1</f>
        <v>1450</v>
      </c>
      <c r="Z4" s="450"/>
      <c r="AA4" s="130"/>
      <c r="AB4" s="100"/>
      <c r="AC4" s="457"/>
      <c r="AD4" s="448" t="str">
        <f>'11月'!E4</f>
        <v>糙米飯</v>
      </c>
      <c r="AE4" s="449"/>
      <c r="AF4" s="449">
        <f>AE1</f>
        <v>1450</v>
      </c>
      <c r="AG4" s="450"/>
      <c r="AH4" s="130"/>
      <c r="AI4" s="253"/>
    </row>
    <row r="5" spans="1:35" s="150" customFormat="1" ht="18.75" customHeight="1">
      <c r="A5" s="462" t="str">
        <f>'11月'!A5</f>
        <v>滷肉燥</v>
      </c>
      <c r="B5" s="350" t="s">
        <v>389</v>
      </c>
      <c r="C5" s="353">
        <v>62</v>
      </c>
      <c r="D5" s="241">
        <f>ROUND($D$4*C5/1000,0)</f>
        <v>90</v>
      </c>
      <c r="E5" s="388" t="s">
        <v>8</v>
      </c>
      <c r="F5" s="389">
        <v>211</v>
      </c>
      <c r="G5" s="162">
        <f aca="true" t="shared" si="0" ref="G5:G29">D5*F5</f>
        <v>18990</v>
      </c>
      <c r="H5" s="463" t="str">
        <f>'11月'!B5</f>
        <v>◎ 砂鍋魚丁</v>
      </c>
      <c r="I5" s="390" t="s">
        <v>454</v>
      </c>
      <c r="J5" s="147">
        <v>69</v>
      </c>
      <c r="K5" s="241">
        <f aca="true" t="shared" si="1" ref="K5:K10">ROUND($K$4*J5/1000,0)</f>
        <v>100</v>
      </c>
      <c r="L5" s="244" t="s">
        <v>8</v>
      </c>
      <c r="M5" s="389">
        <v>220</v>
      </c>
      <c r="N5" s="162">
        <f>K5*M5</f>
        <v>22000</v>
      </c>
      <c r="O5" s="463" t="str">
        <f>'11月'!C4</f>
        <v>豚骨拉麵</v>
      </c>
      <c r="P5" s="148" t="s">
        <v>370</v>
      </c>
      <c r="Q5" s="148">
        <v>138</v>
      </c>
      <c r="R5" s="241">
        <f>ROUND($R$4*Q5/1000,0)</f>
        <v>200</v>
      </c>
      <c r="S5" s="244" t="s">
        <v>8</v>
      </c>
      <c r="T5" s="255">
        <v>38</v>
      </c>
      <c r="U5" s="162">
        <f aca="true" t="shared" si="2" ref="U5:U29">R5*T5</f>
        <v>7600</v>
      </c>
      <c r="V5" s="462" t="str">
        <f>'11月'!D5</f>
        <v>蔥燒雞</v>
      </c>
      <c r="W5" s="341" t="s">
        <v>252</v>
      </c>
      <c r="X5" s="341">
        <v>33</v>
      </c>
      <c r="Y5" s="260">
        <f>ROUND($K$4*X5/1000,0)</f>
        <v>48</v>
      </c>
      <c r="Z5" s="347" t="s">
        <v>8</v>
      </c>
      <c r="AA5" s="255">
        <v>180</v>
      </c>
      <c r="AB5" s="162">
        <f aca="true" t="shared" si="3" ref="AB5:AB29">Y5*AA5</f>
        <v>8640</v>
      </c>
      <c r="AC5" s="462" t="str">
        <f>'11月'!E5</f>
        <v>筍乾燒蹄膀</v>
      </c>
      <c r="AD5" s="147" t="s">
        <v>447</v>
      </c>
      <c r="AE5" s="209">
        <v>41.5</v>
      </c>
      <c r="AF5" s="241">
        <f>ROUND($AF$4*AE5/1000,0)</f>
        <v>60</v>
      </c>
      <c r="AG5" s="242" t="s">
        <v>8</v>
      </c>
      <c r="AH5" s="255">
        <v>240</v>
      </c>
      <c r="AI5" s="254">
        <f aca="true" t="shared" si="4" ref="AI5:AI29">AF5*AH5</f>
        <v>14400</v>
      </c>
    </row>
    <row r="6" spans="1:35" s="150" customFormat="1" ht="18.75" customHeight="1">
      <c r="A6" s="462"/>
      <c r="B6" s="158" t="s">
        <v>511</v>
      </c>
      <c r="C6" s="375">
        <v>0.4</v>
      </c>
      <c r="D6" s="241">
        <f>ROUND($D$4*C6/1000,1)</f>
        <v>0.6</v>
      </c>
      <c r="E6" s="391" t="s">
        <v>8</v>
      </c>
      <c r="F6" s="389">
        <v>1880</v>
      </c>
      <c r="G6" s="162">
        <f t="shared" si="0"/>
        <v>1128</v>
      </c>
      <c r="H6" s="464"/>
      <c r="I6" s="147" t="s">
        <v>455</v>
      </c>
      <c r="J6" s="147">
        <v>17</v>
      </c>
      <c r="K6" s="241">
        <f t="shared" si="1"/>
        <v>25</v>
      </c>
      <c r="L6" s="244" t="s">
        <v>8</v>
      </c>
      <c r="M6" s="389">
        <v>94</v>
      </c>
      <c r="N6" s="162">
        <f aca="true" t="shared" si="5" ref="N6:N29">K6*M6</f>
        <v>2350</v>
      </c>
      <c r="O6" s="464"/>
      <c r="P6" s="147" t="s">
        <v>303</v>
      </c>
      <c r="Q6" s="147">
        <v>20.5</v>
      </c>
      <c r="R6" s="241">
        <f>ROUND($R$4*Q6/1000,0)</f>
        <v>30</v>
      </c>
      <c r="S6" s="160" t="s">
        <v>8</v>
      </c>
      <c r="T6" s="255">
        <v>139</v>
      </c>
      <c r="U6" s="162">
        <f t="shared" si="2"/>
        <v>4170</v>
      </c>
      <c r="V6" s="462"/>
      <c r="W6" s="348" t="s">
        <v>448</v>
      </c>
      <c r="X6" s="341">
        <v>49.5</v>
      </c>
      <c r="Y6" s="260">
        <f>ROUND($K$4*X6/1000,0)</f>
        <v>72</v>
      </c>
      <c r="Z6" s="347" t="s">
        <v>8</v>
      </c>
      <c r="AA6" s="255">
        <v>190</v>
      </c>
      <c r="AB6" s="162">
        <f t="shared" si="3"/>
        <v>13680</v>
      </c>
      <c r="AC6" s="462"/>
      <c r="AD6" s="341" t="s">
        <v>510</v>
      </c>
      <c r="AE6" s="341">
        <v>14</v>
      </c>
      <c r="AF6" s="241">
        <f>ROUND($AF$4*AE6/1700,0)</f>
        <v>12</v>
      </c>
      <c r="AG6" s="149" t="s">
        <v>218</v>
      </c>
      <c r="AH6" s="255">
        <v>55</v>
      </c>
      <c r="AI6" s="254">
        <f t="shared" si="4"/>
        <v>660</v>
      </c>
    </row>
    <row r="7" spans="1:39" s="150" customFormat="1" ht="18.75" customHeight="1">
      <c r="A7" s="462"/>
      <c r="B7" s="158" t="s">
        <v>512</v>
      </c>
      <c r="C7" s="209">
        <v>2</v>
      </c>
      <c r="D7" s="241">
        <f>ROUND($D$4*C7/1000,0)</f>
        <v>3</v>
      </c>
      <c r="E7" s="391" t="s">
        <v>8</v>
      </c>
      <c r="F7" s="389">
        <v>185</v>
      </c>
      <c r="G7" s="162">
        <f t="shared" si="0"/>
        <v>555</v>
      </c>
      <c r="H7" s="464"/>
      <c r="I7" s="252" t="s">
        <v>198</v>
      </c>
      <c r="J7" s="147">
        <v>5</v>
      </c>
      <c r="K7" s="241">
        <f t="shared" si="1"/>
        <v>7</v>
      </c>
      <c r="L7" s="244" t="s">
        <v>8</v>
      </c>
      <c r="M7" s="389">
        <v>77</v>
      </c>
      <c r="N7" s="162">
        <f t="shared" si="5"/>
        <v>539</v>
      </c>
      <c r="O7" s="464"/>
      <c r="P7" s="148" t="s">
        <v>363</v>
      </c>
      <c r="Q7" s="158">
        <v>6</v>
      </c>
      <c r="R7" s="241">
        <f>ROUND($R$4*Q7/1000,0)</f>
        <v>9</v>
      </c>
      <c r="S7" s="149" t="s">
        <v>269</v>
      </c>
      <c r="T7" s="255">
        <v>57</v>
      </c>
      <c r="U7" s="162">
        <f t="shared" si="2"/>
        <v>513</v>
      </c>
      <c r="V7" s="462"/>
      <c r="W7" s="349" t="s">
        <v>385</v>
      </c>
      <c r="X7" s="350">
        <v>14</v>
      </c>
      <c r="Y7" s="260">
        <f>ROUND($K$4*X7/1000,0)</f>
        <v>20</v>
      </c>
      <c r="Z7" s="207" t="s">
        <v>8</v>
      </c>
      <c r="AA7" s="255">
        <v>110</v>
      </c>
      <c r="AB7" s="162">
        <f t="shared" si="3"/>
        <v>2200</v>
      </c>
      <c r="AC7" s="462"/>
      <c r="AD7" s="209" t="s">
        <v>382</v>
      </c>
      <c r="AE7" s="209">
        <v>1</v>
      </c>
      <c r="AF7" s="241" t="s">
        <v>195</v>
      </c>
      <c r="AG7" s="149" t="s">
        <v>8</v>
      </c>
      <c r="AH7" s="255"/>
      <c r="AI7" s="254"/>
      <c r="AJ7" s="189"/>
      <c r="AK7" s="189"/>
      <c r="AL7" s="159"/>
      <c r="AM7" s="149"/>
    </row>
    <row r="8" spans="1:39" s="150" customFormat="1" ht="18.75" customHeight="1">
      <c r="A8" s="462"/>
      <c r="B8" s="375" t="s">
        <v>390</v>
      </c>
      <c r="C8" s="209">
        <v>11</v>
      </c>
      <c r="D8" s="241">
        <f>ROUND($D$4*C8/1000,0)</f>
        <v>16</v>
      </c>
      <c r="E8" s="391" t="s">
        <v>8</v>
      </c>
      <c r="F8" s="389">
        <v>60</v>
      </c>
      <c r="G8" s="162">
        <f t="shared" si="0"/>
        <v>960</v>
      </c>
      <c r="H8" s="464"/>
      <c r="I8" s="392" t="s">
        <v>456</v>
      </c>
      <c r="J8" s="209">
        <v>9</v>
      </c>
      <c r="K8" s="241">
        <f t="shared" si="1"/>
        <v>13</v>
      </c>
      <c r="L8" s="244" t="s">
        <v>8</v>
      </c>
      <c r="M8" s="389">
        <v>115</v>
      </c>
      <c r="N8" s="162">
        <f t="shared" si="5"/>
        <v>1495</v>
      </c>
      <c r="O8" s="464"/>
      <c r="P8" s="148" t="s">
        <v>323</v>
      </c>
      <c r="Q8" s="158">
        <v>6</v>
      </c>
      <c r="R8" s="241">
        <f>ROUND($R$4*Q8/1000,0)</f>
        <v>9</v>
      </c>
      <c r="S8" s="160" t="s">
        <v>8</v>
      </c>
      <c r="T8" s="255">
        <v>90</v>
      </c>
      <c r="U8" s="162">
        <f t="shared" si="2"/>
        <v>810</v>
      </c>
      <c r="V8" s="462"/>
      <c r="W8" s="350" t="s">
        <v>221</v>
      </c>
      <c r="X8" s="350">
        <v>0.2</v>
      </c>
      <c r="Y8" s="260">
        <f>ROUND($K$4*X8/1000,1)</f>
        <v>0.3</v>
      </c>
      <c r="Z8" s="347" t="s">
        <v>8</v>
      </c>
      <c r="AA8" s="255">
        <v>110</v>
      </c>
      <c r="AB8" s="162">
        <f t="shared" si="3"/>
        <v>33</v>
      </c>
      <c r="AC8" s="462"/>
      <c r="AD8" s="209" t="s">
        <v>383</v>
      </c>
      <c r="AE8" s="209">
        <v>1</v>
      </c>
      <c r="AF8" s="241">
        <v>1</v>
      </c>
      <c r="AG8" s="149" t="s">
        <v>218</v>
      </c>
      <c r="AH8" s="255">
        <v>180</v>
      </c>
      <c r="AI8" s="254">
        <f t="shared" si="4"/>
        <v>180</v>
      </c>
      <c r="AJ8" s="189"/>
      <c r="AK8" s="189"/>
      <c r="AL8" s="159"/>
      <c r="AM8" s="149"/>
    </row>
    <row r="9" spans="1:39" s="150" customFormat="1" ht="18.75" customHeight="1">
      <c r="A9" s="462"/>
      <c r="B9" s="375"/>
      <c r="C9" s="209"/>
      <c r="D9" s="241"/>
      <c r="E9" s="391"/>
      <c r="F9" s="389"/>
      <c r="G9" s="162">
        <f t="shared" si="0"/>
        <v>0</v>
      </c>
      <c r="H9" s="464"/>
      <c r="I9" s="147" t="s">
        <v>457</v>
      </c>
      <c r="J9" s="147">
        <v>1</v>
      </c>
      <c r="K9" s="241">
        <f t="shared" si="1"/>
        <v>1</v>
      </c>
      <c r="L9" s="244" t="s">
        <v>8</v>
      </c>
      <c r="M9" s="389">
        <v>355</v>
      </c>
      <c r="N9" s="162">
        <f t="shared" si="5"/>
        <v>355</v>
      </c>
      <c r="O9" s="464"/>
      <c r="P9" s="148" t="s">
        <v>371</v>
      </c>
      <c r="Q9" s="158">
        <v>8</v>
      </c>
      <c r="R9" s="241">
        <f>ROUND($R$4*Q9/4300,0)</f>
        <v>3</v>
      </c>
      <c r="S9" s="160" t="s">
        <v>222</v>
      </c>
      <c r="T9" s="255">
        <v>195</v>
      </c>
      <c r="U9" s="162">
        <f t="shared" si="2"/>
        <v>585</v>
      </c>
      <c r="V9" s="462"/>
      <c r="W9" s="341" t="s">
        <v>381</v>
      </c>
      <c r="X9" s="341">
        <v>2</v>
      </c>
      <c r="Y9" s="260">
        <f>ROUND($K$4*X9/1000,0)</f>
        <v>3</v>
      </c>
      <c r="Z9" s="347" t="s">
        <v>8</v>
      </c>
      <c r="AA9" s="255">
        <v>292</v>
      </c>
      <c r="AB9" s="162">
        <f t="shared" si="3"/>
        <v>876</v>
      </c>
      <c r="AC9" s="462"/>
      <c r="AD9" s="147" t="s">
        <v>384</v>
      </c>
      <c r="AE9" s="147">
        <v>37.5</v>
      </c>
      <c r="AF9" s="241">
        <f aca="true" t="shared" si="6" ref="AF9:AF25">ROUND($AF$4*AE9/1000,0)</f>
        <v>54</v>
      </c>
      <c r="AG9" s="149" t="s">
        <v>8</v>
      </c>
      <c r="AH9" s="255">
        <v>214</v>
      </c>
      <c r="AI9" s="254">
        <f t="shared" si="4"/>
        <v>11556</v>
      </c>
      <c r="AJ9" s="189"/>
      <c r="AK9" s="189"/>
      <c r="AL9" s="159"/>
      <c r="AM9" s="149"/>
    </row>
    <row r="10" spans="1:39" s="150" customFormat="1" ht="18.75" customHeight="1">
      <c r="A10" s="462"/>
      <c r="B10" s="405" t="s">
        <v>451</v>
      </c>
      <c r="C10" s="147"/>
      <c r="D10" s="241"/>
      <c r="E10" s="391"/>
      <c r="F10" s="389"/>
      <c r="G10" s="162">
        <f t="shared" si="0"/>
        <v>0</v>
      </c>
      <c r="H10" s="464"/>
      <c r="I10" s="147" t="s">
        <v>458</v>
      </c>
      <c r="J10" s="147">
        <v>13.5</v>
      </c>
      <c r="K10" s="241">
        <f t="shared" si="1"/>
        <v>20</v>
      </c>
      <c r="L10" s="244" t="s">
        <v>8</v>
      </c>
      <c r="M10" s="389">
        <v>88</v>
      </c>
      <c r="N10" s="162">
        <f t="shared" si="5"/>
        <v>1760</v>
      </c>
      <c r="O10" s="464"/>
      <c r="P10" s="147" t="s">
        <v>312</v>
      </c>
      <c r="Q10" s="216">
        <v>23</v>
      </c>
      <c r="R10" s="241">
        <f>ROUND($R$4*Q10/1000,0)</f>
        <v>33</v>
      </c>
      <c r="S10" s="160" t="s">
        <v>8</v>
      </c>
      <c r="T10" s="255">
        <v>230</v>
      </c>
      <c r="U10" s="162">
        <f t="shared" si="2"/>
        <v>7590</v>
      </c>
      <c r="V10" s="462"/>
      <c r="W10" s="147"/>
      <c r="X10" s="147"/>
      <c r="Y10" s="241"/>
      <c r="Z10" s="149"/>
      <c r="AA10" s="255"/>
      <c r="AB10" s="162">
        <f t="shared" si="3"/>
        <v>0</v>
      </c>
      <c r="AC10" s="462"/>
      <c r="AD10" s="350" t="s">
        <v>221</v>
      </c>
      <c r="AE10" s="350">
        <v>0.2</v>
      </c>
      <c r="AF10" s="241">
        <f>ROUND($AF$4*AE10/1000,1)</f>
        <v>0.3</v>
      </c>
      <c r="AG10" s="347" t="s">
        <v>8</v>
      </c>
      <c r="AH10" s="255">
        <v>110</v>
      </c>
      <c r="AI10" s="254">
        <f t="shared" si="4"/>
        <v>33</v>
      </c>
      <c r="AJ10" s="189"/>
      <c r="AK10" s="189"/>
      <c r="AL10" s="159"/>
      <c r="AM10" s="149"/>
    </row>
    <row r="11" spans="1:39" s="153" customFormat="1" ht="18.75" customHeight="1">
      <c r="A11" s="462"/>
      <c r="B11" s="147"/>
      <c r="C11" s="147"/>
      <c r="D11" s="241"/>
      <c r="E11" s="391"/>
      <c r="F11" s="161"/>
      <c r="G11" s="162">
        <f t="shared" si="0"/>
        <v>0</v>
      </c>
      <c r="H11" s="464"/>
      <c r="I11" s="147" t="s">
        <v>459</v>
      </c>
      <c r="J11" s="147">
        <v>3</v>
      </c>
      <c r="K11" s="241" t="s">
        <v>195</v>
      </c>
      <c r="L11" s="244" t="s">
        <v>8</v>
      </c>
      <c r="M11" s="161"/>
      <c r="N11" s="162"/>
      <c r="O11" s="464"/>
      <c r="P11" s="155" t="s">
        <v>372</v>
      </c>
      <c r="Q11" s="216">
        <v>6.5</v>
      </c>
      <c r="R11" s="241">
        <f>ROUND($R$4*Q11/1000,0)</f>
        <v>9</v>
      </c>
      <c r="S11" s="160" t="s">
        <v>8</v>
      </c>
      <c r="T11" s="161">
        <v>195</v>
      </c>
      <c r="U11" s="162">
        <f t="shared" si="2"/>
        <v>1755</v>
      </c>
      <c r="V11" s="462"/>
      <c r="W11" s="147"/>
      <c r="X11" s="147"/>
      <c r="Y11" s="241"/>
      <c r="Z11" s="149"/>
      <c r="AA11" s="161"/>
      <c r="AB11" s="162">
        <f t="shared" si="3"/>
        <v>0</v>
      </c>
      <c r="AC11" s="462"/>
      <c r="AD11" s="147"/>
      <c r="AE11" s="147"/>
      <c r="AF11" s="241"/>
      <c r="AG11" s="149"/>
      <c r="AH11" s="161"/>
      <c r="AI11" s="254">
        <f t="shared" si="4"/>
        <v>0</v>
      </c>
      <c r="AJ11" s="206"/>
      <c r="AK11" s="189"/>
      <c r="AL11" s="159"/>
      <c r="AM11" s="149"/>
    </row>
    <row r="12" spans="1:39" s="150" customFormat="1" ht="18.75" customHeight="1">
      <c r="A12" s="462" t="str">
        <f>'11月'!A6</f>
        <v>鮮炒桂竹筍</v>
      </c>
      <c r="B12" s="155" t="s">
        <v>364</v>
      </c>
      <c r="C12" s="147">
        <v>10</v>
      </c>
      <c r="D12" s="394">
        <f>ROUND($D$4*C12/3000,0)</f>
        <v>5</v>
      </c>
      <c r="E12" s="160" t="s">
        <v>218</v>
      </c>
      <c r="F12" s="389">
        <v>270</v>
      </c>
      <c r="G12" s="162">
        <f t="shared" si="0"/>
        <v>1350</v>
      </c>
      <c r="H12" s="464"/>
      <c r="I12" s="147" t="s">
        <v>349</v>
      </c>
      <c r="J12" s="147">
        <v>2</v>
      </c>
      <c r="K12" s="241" t="s">
        <v>195</v>
      </c>
      <c r="L12" s="160" t="s">
        <v>222</v>
      </c>
      <c r="M12" s="389"/>
      <c r="N12" s="162"/>
      <c r="O12" s="464"/>
      <c r="P12" s="150" t="s">
        <v>373</v>
      </c>
      <c r="Q12" s="216">
        <v>11</v>
      </c>
      <c r="R12" s="241" t="s">
        <v>195</v>
      </c>
      <c r="S12" s="160" t="s">
        <v>8</v>
      </c>
      <c r="T12" s="255"/>
      <c r="U12" s="162"/>
      <c r="V12" s="462" t="str">
        <f>'11月'!D6</f>
        <v>冬瓜燴鴿蛋</v>
      </c>
      <c r="W12" s="147" t="s">
        <v>219</v>
      </c>
      <c r="X12" s="147">
        <v>55</v>
      </c>
      <c r="Y12" s="241">
        <f aca="true" t="shared" si="7" ref="Y12:Y26">ROUND($Y$4*X12/1000,0)</f>
        <v>80</v>
      </c>
      <c r="Z12" s="149" t="s">
        <v>8</v>
      </c>
      <c r="AA12" s="255">
        <v>65</v>
      </c>
      <c r="AB12" s="162">
        <f t="shared" si="3"/>
        <v>5200</v>
      </c>
      <c r="AC12" s="462" t="str">
        <f>'11月'!E6</f>
        <v>螞蟻上樹</v>
      </c>
      <c r="AD12" s="147" t="s">
        <v>460</v>
      </c>
      <c r="AE12" s="147">
        <v>6</v>
      </c>
      <c r="AF12" s="241">
        <f t="shared" si="6"/>
        <v>9</v>
      </c>
      <c r="AG12" s="149" t="s">
        <v>8</v>
      </c>
      <c r="AH12" s="255">
        <v>190</v>
      </c>
      <c r="AI12" s="254">
        <f t="shared" si="4"/>
        <v>1710</v>
      </c>
      <c r="AJ12" s="189"/>
      <c r="AK12" s="189"/>
      <c r="AL12" s="159"/>
      <c r="AM12" s="149"/>
    </row>
    <row r="13" spans="1:39" s="150" customFormat="1" ht="18.75" customHeight="1">
      <c r="A13" s="462"/>
      <c r="B13" s="155" t="s">
        <v>391</v>
      </c>
      <c r="C13" s="147">
        <v>10.5</v>
      </c>
      <c r="D13" s="241">
        <f>ROUND($D$4*C13/1000,0)</f>
        <v>15</v>
      </c>
      <c r="E13" s="160" t="s">
        <v>8</v>
      </c>
      <c r="F13" s="389">
        <v>217</v>
      </c>
      <c r="G13" s="162">
        <f t="shared" si="0"/>
        <v>3255</v>
      </c>
      <c r="H13" s="465"/>
      <c r="I13" s="216"/>
      <c r="J13" s="147"/>
      <c r="K13" s="241"/>
      <c r="L13" s="160"/>
      <c r="M13" s="389"/>
      <c r="N13" s="162">
        <f t="shared" si="5"/>
        <v>0</v>
      </c>
      <c r="O13" s="464"/>
      <c r="P13" s="147" t="s">
        <v>374</v>
      </c>
      <c r="Q13" s="147">
        <v>1</v>
      </c>
      <c r="R13" s="241">
        <f>ROUND($R$4*Q13/1000,0)</f>
        <v>1</v>
      </c>
      <c r="S13" s="160" t="s">
        <v>8</v>
      </c>
      <c r="T13" s="255">
        <v>149</v>
      </c>
      <c r="U13" s="162">
        <f t="shared" si="2"/>
        <v>149</v>
      </c>
      <c r="V13" s="462"/>
      <c r="W13" s="147" t="s">
        <v>465</v>
      </c>
      <c r="X13" s="147">
        <v>8.5</v>
      </c>
      <c r="Y13" s="241">
        <f t="shared" si="7"/>
        <v>12</v>
      </c>
      <c r="Z13" s="149" t="s">
        <v>8</v>
      </c>
      <c r="AA13" s="255">
        <v>320</v>
      </c>
      <c r="AB13" s="162">
        <f t="shared" si="3"/>
        <v>3840</v>
      </c>
      <c r="AC13" s="462"/>
      <c r="AD13" s="147" t="s">
        <v>270</v>
      </c>
      <c r="AE13" s="147">
        <v>6.5</v>
      </c>
      <c r="AF13" s="241">
        <f t="shared" si="6"/>
        <v>9</v>
      </c>
      <c r="AG13" s="149" t="s">
        <v>8</v>
      </c>
      <c r="AH13" s="255">
        <v>214</v>
      </c>
      <c r="AI13" s="254">
        <f t="shared" si="4"/>
        <v>1926</v>
      </c>
      <c r="AJ13" s="151"/>
      <c r="AK13" s="147"/>
      <c r="AL13" s="159"/>
      <c r="AM13" s="149"/>
    </row>
    <row r="14" spans="1:35" s="150" customFormat="1" ht="18.75" customHeight="1">
      <c r="A14" s="462"/>
      <c r="B14" s="359" t="s">
        <v>205</v>
      </c>
      <c r="C14" s="375">
        <v>0.4</v>
      </c>
      <c r="D14" s="241">
        <f>ROUND($D$4*C14/1000,1)</f>
        <v>0.6</v>
      </c>
      <c r="E14" s="160" t="s">
        <v>8</v>
      </c>
      <c r="F14" s="389">
        <v>100</v>
      </c>
      <c r="G14" s="162">
        <f t="shared" si="0"/>
        <v>60</v>
      </c>
      <c r="H14" s="463" t="str">
        <f>'11月'!B6</f>
        <v>番茄豆腐</v>
      </c>
      <c r="I14" s="147" t="s">
        <v>436</v>
      </c>
      <c r="J14" s="147">
        <v>55</v>
      </c>
      <c r="K14" s="241">
        <f>ROUND($K$4*J14/4300,0)</f>
        <v>19</v>
      </c>
      <c r="L14" s="160" t="s">
        <v>222</v>
      </c>
      <c r="M14" s="389">
        <v>195</v>
      </c>
      <c r="N14" s="162">
        <f t="shared" si="5"/>
        <v>3705</v>
      </c>
      <c r="O14" s="464"/>
      <c r="P14" s="217" t="s">
        <v>375</v>
      </c>
      <c r="Q14" s="148"/>
      <c r="R14" s="241" t="s">
        <v>195</v>
      </c>
      <c r="S14" s="160" t="s">
        <v>8</v>
      </c>
      <c r="T14" s="255"/>
      <c r="U14" s="162"/>
      <c r="V14" s="462"/>
      <c r="W14" s="216" t="s">
        <v>353</v>
      </c>
      <c r="X14" s="147">
        <v>5</v>
      </c>
      <c r="Y14" s="241">
        <f t="shared" si="7"/>
        <v>7</v>
      </c>
      <c r="Z14" s="149" t="s">
        <v>8</v>
      </c>
      <c r="AA14" s="255">
        <v>135</v>
      </c>
      <c r="AB14" s="162">
        <f t="shared" si="3"/>
        <v>945</v>
      </c>
      <c r="AC14" s="462"/>
      <c r="AD14" s="147" t="s">
        <v>298</v>
      </c>
      <c r="AE14" s="147">
        <v>6</v>
      </c>
      <c r="AF14" s="241">
        <f t="shared" si="6"/>
        <v>9</v>
      </c>
      <c r="AG14" s="149" t="s">
        <v>8</v>
      </c>
      <c r="AH14" s="255">
        <v>135</v>
      </c>
      <c r="AI14" s="254">
        <f t="shared" si="4"/>
        <v>1215</v>
      </c>
    </row>
    <row r="15" spans="1:35" s="150" customFormat="1" ht="18.75" customHeight="1">
      <c r="A15" s="462"/>
      <c r="B15" s="359" t="s">
        <v>365</v>
      </c>
      <c r="C15" s="375">
        <v>0.4</v>
      </c>
      <c r="D15" s="241">
        <f>ROUND($D$4*C15/1000,1)</f>
        <v>0.6</v>
      </c>
      <c r="E15" s="160" t="s">
        <v>8</v>
      </c>
      <c r="F15" s="389">
        <v>175</v>
      </c>
      <c r="G15" s="162">
        <f t="shared" si="0"/>
        <v>105</v>
      </c>
      <c r="H15" s="464"/>
      <c r="I15" s="216" t="s">
        <v>433</v>
      </c>
      <c r="J15" s="147">
        <v>14</v>
      </c>
      <c r="K15" s="241">
        <f>ROUND($K$4*J15/1000,0)</f>
        <v>20</v>
      </c>
      <c r="L15" s="160" t="s">
        <v>8</v>
      </c>
      <c r="M15" s="389">
        <v>239</v>
      </c>
      <c r="N15" s="162">
        <f t="shared" si="5"/>
        <v>4780</v>
      </c>
      <c r="O15" s="464"/>
      <c r="P15" s="250"/>
      <c r="Q15" s="147"/>
      <c r="R15" s="241"/>
      <c r="S15" s="160"/>
      <c r="T15" s="255"/>
      <c r="U15" s="162">
        <f t="shared" si="2"/>
        <v>0</v>
      </c>
      <c r="V15" s="462"/>
      <c r="W15" s="147" t="s">
        <v>198</v>
      </c>
      <c r="X15" s="147">
        <v>6.5</v>
      </c>
      <c r="Y15" s="241">
        <f t="shared" si="7"/>
        <v>9</v>
      </c>
      <c r="Z15" s="149" t="s">
        <v>8</v>
      </c>
      <c r="AA15" s="255">
        <v>85</v>
      </c>
      <c r="AB15" s="162">
        <f t="shared" si="3"/>
        <v>765</v>
      </c>
      <c r="AC15" s="462"/>
      <c r="AD15" s="216" t="s">
        <v>350</v>
      </c>
      <c r="AE15" s="147">
        <v>14</v>
      </c>
      <c r="AF15" s="241">
        <f t="shared" si="6"/>
        <v>20</v>
      </c>
      <c r="AG15" s="149" t="s">
        <v>8</v>
      </c>
      <c r="AH15" s="255">
        <v>102</v>
      </c>
      <c r="AI15" s="254">
        <f t="shared" si="4"/>
        <v>2040</v>
      </c>
    </row>
    <row r="16" spans="1:35" s="150" customFormat="1" ht="18.75" customHeight="1">
      <c r="A16" s="462"/>
      <c r="B16" s="393" t="s">
        <v>513</v>
      </c>
      <c r="C16" s="350">
        <v>42</v>
      </c>
      <c r="D16" s="241">
        <f>ROUND($D$4*C16/12000,0)</f>
        <v>5</v>
      </c>
      <c r="E16" s="160" t="s">
        <v>217</v>
      </c>
      <c r="F16" s="389">
        <v>1650</v>
      </c>
      <c r="G16" s="162">
        <f t="shared" si="0"/>
        <v>8250</v>
      </c>
      <c r="H16" s="464"/>
      <c r="I16" s="147" t="s">
        <v>435</v>
      </c>
      <c r="J16" s="147">
        <v>11</v>
      </c>
      <c r="K16" s="241">
        <f>ROUND($K$4*J16/1000,0)</f>
        <v>16</v>
      </c>
      <c r="L16" s="160" t="s">
        <v>8</v>
      </c>
      <c r="M16" s="389">
        <v>115</v>
      </c>
      <c r="N16" s="162">
        <f t="shared" si="5"/>
        <v>1840</v>
      </c>
      <c r="O16" s="491"/>
      <c r="P16" s="366" t="s">
        <v>495</v>
      </c>
      <c r="Q16" s="167"/>
      <c r="R16" s="266"/>
      <c r="S16" s="267"/>
      <c r="T16" s="255"/>
      <c r="U16" s="162">
        <f t="shared" si="2"/>
        <v>0</v>
      </c>
      <c r="V16" s="462"/>
      <c r="W16" s="216" t="s">
        <v>300</v>
      </c>
      <c r="X16" s="147">
        <v>6.5</v>
      </c>
      <c r="Y16" s="241">
        <f t="shared" si="7"/>
        <v>9</v>
      </c>
      <c r="Z16" s="149" t="s">
        <v>8</v>
      </c>
      <c r="AA16" s="255">
        <v>110</v>
      </c>
      <c r="AB16" s="162">
        <f t="shared" si="3"/>
        <v>990</v>
      </c>
      <c r="AC16" s="462"/>
      <c r="AD16" s="147" t="s">
        <v>261</v>
      </c>
      <c r="AE16" s="147">
        <v>0.2</v>
      </c>
      <c r="AF16" s="241">
        <f>ROUND($AF$4*AE16/1000,1)</f>
        <v>0.3</v>
      </c>
      <c r="AG16" s="149" t="s">
        <v>8</v>
      </c>
      <c r="AH16" s="255">
        <v>1700</v>
      </c>
      <c r="AI16" s="254">
        <f t="shared" si="4"/>
        <v>510</v>
      </c>
    </row>
    <row r="17" spans="1:35" s="150" customFormat="1" ht="18.75" customHeight="1">
      <c r="A17" s="462"/>
      <c r="B17" s="217"/>
      <c r="C17" s="217"/>
      <c r="D17" s="241"/>
      <c r="E17" s="218"/>
      <c r="F17" s="389"/>
      <c r="G17" s="162">
        <f t="shared" si="0"/>
        <v>0</v>
      </c>
      <c r="H17" s="464"/>
      <c r="I17" s="147" t="s">
        <v>434</v>
      </c>
      <c r="J17" s="147">
        <v>2</v>
      </c>
      <c r="K17" s="241">
        <f>ROUND($K$4*J17/3000,0)</f>
        <v>1</v>
      </c>
      <c r="L17" s="160" t="s">
        <v>217</v>
      </c>
      <c r="M17" s="389">
        <v>250</v>
      </c>
      <c r="N17" s="162">
        <f t="shared" si="5"/>
        <v>250</v>
      </c>
      <c r="O17" s="493" t="str">
        <f>'11月'!C5</f>
        <v>茶葉蛋加菜</v>
      </c>
      <c r="P17" s="155" t="s">
        <v>255</v>
      </c>
      <c r="Q17" s="147">
        <v>1</v>
      </c>
      <c r="R17" s="159">
        <f>ROUND($R$4*Q17,0)+50</f>
        <v>1500</v>
      </c>
      <c r="S17" s="218" t="s">
        <v>379</v>
      </c>
      <c r="T17" s="255">
        <v>8</v>
      </c>
      <c r="U17" s="162">
        <f t="shared" si="2"/>
        <v>12000</v>
      </c>
      <c r="V17" s="462"/>
      <c r="W17" s="147" t="s">
        <v>205</v>
      </c>
      <c r="X17" s="148">
        <v>0.2</v>
      </c>
      <c r="Y17" s="241">
        <f>ROUND($Y$4*X17/1000,1)</f>
        <v>0.3</v>
      </c>
      <c r="Z17" s="207" t="s">
        <v>8</v>
      </c>
      <c r="AA17" s="255">
        <v>110</v>
      </c>
      <c r="AB17" s="162">
        <f t="shared" si="3"/>
        <v>33</v>
      </c>
      <c r="AC17" s="462"/>
      <c r="AD17" s="147" t="s">
        <v>437</v>
      </c>
      <c r="AE17" s="147">
        <v>1.5</v>
      </c>
      <c r="AF17" s="241">
        <f t="shared" si="6"/>
        <v>2</v>
      </c>
      <c r="AG17" s="149" t="s">
        <v>8</v>
      </c>
      <c r="AH17" s="255">
        <v>270</v>
      </c>
      <c r="AI17" s="254">
        <f t="shared" si="4"/>
        <v>540</v>
      </c>
    </row>
    <row r="18" spans="1:39" s="150" customFormat="1" ht="18.75" customHeight="1">
      <c r="A18" s="462"/>
      <c r="B18" s="147"/>
      <c r="C18" s="147"/>
      <c r="D18" s="241"/>
      <c r="E18" s="160"/>
      <c r="F18" s="389"/>
      <c r="G18" s="162">
        <f t="shared" si="0"/>
        <v>0</v>
      </c>
      <c r="H18" s="465"/>
      <c r="I18" s="375" t="s">
        <v>205</v>
      </c>
      <c r="J18" s="375">
        <v>0.2</v>
      </c>
      <c r="K18" s="241">
        <f>ROUND($K$4*J18/1000,1)</f>
        <v>0.3</v>
      </c>
      <c r="L18" s="244" t="s">
        <v>8</v>
      </c>
      <c r="M18" s="389">
        <v>100</v>
      </c>
      <c r="N18" s="162">
        <f t="shared" si="5"/>
        <v>30</v>
      </c>
      <c r="O18" s="494"/>
      <c r="P18" s="251" t="s">
        <v>430</v>
      </c>
      <c r="Q18" s="249"/>
      <c r="R18" s="159"/>
      <c r="S18" s="160"/>
      <c r="T18" s="255"/>
      <c r="U18" s="162"/>
      <c r="V18" s="462"/>
      <c r="W18" s="151" t="s">
        <v>290</v>
      </c>
      <c r="X18" s="147">
        <v>2</v>
      </c>
      <c r="Y18" s="241">
        <f t="shared" si="7"/>
        <v>3</v>
      </c>
      <c r="Z18" s="149" t="s">
        <v>8</v>
      </c>
      <c r="AA18" s="255">
        <v>214</v>
      </c>
      <c r="AB18" s="162">
        <f t="shared" si="3"/>
        <v>642</v>
      </c>
      <c r="AC18" s="462"/>
      <c r="AD18" s="147" t="s">
        <v>349</v>
      </c>
      <c r="AE18" s="147"/>
      <c r="AF18" s="241" t="s">
        <v>195</v>
      </c>
      <c r="AG18" s="149" t="s">
        <v>217</v>
      </c>
      <c r="AH18" s="255"/>
      <c r="AI18" s="254"/>
      <c r="AJ18" s="189"/>
      <c r="AK18" s="189"/>
      <c r="AL18" s="159"/>
      <c r="AM18" s="149"/>
    </row>
    <row r="19" spans="1:39" s="150" customFormat="1" ht="18.75" customHeight="1">
      <c r="A19" s="475" t="str">
        <f>'11月'!A7</f>
        <v>產銷履歷蔬菜</v>
      </c>
      <c r="B19" s="158" t="s">
        <v>368</v>
      </c>
      <c r="C19" s="158">
        <v>62</v>
      </c>
      <c r="D19" s="241">
        <f>ROUND($D$4*C19/1000,0)</f>
        <v>90</v>
      </c>
      <c r="E19" s="211" t="s">
        <v>8</v>
      </c>
      <c r="F19" s="161">
        <v>95</v>
      </c>
      <c r="G19" s="162">
        <f t="shared" si="0"/>
        <v>8550</v>
      </c>
      <c r="H19" s="476" t="str">
        <f>'11月'!B7</f>
        <v>有機青菜</v>
      </c>
      <c r="I19" s="252" t="s">
        <v>329</v>
      </c>
      <c r="J19" s="158">
        <v>62</v>
      </c>
      <c r="K19" s="241">
        <f>ROUND($K$4*J19/1000,0)</f>
        <v>90</v>
      </c>
      <c r="L19" s="207" t="s">
        <v>8</v>
      </c>
      <c r="M19" s="161"/>
      <c r="N19" s="162">
        <f t="shared" si="5"/>
        <v>0</v>
      </c>
      <c r="O19" s="494"/>
      <c r="P19" s="155" t="s">
        <v>377</v>
      </c>
      <c r="Q19" s="147">
        <v>0.4</v>
      </c>
      <c r="R19" s="241" t="s">
        <v>195</v>
      </c>
      <c r="S19" s="160" t="s">
        <v>8</v>
      </c>
      <c r="T19" s="161"/>
      <c r="U19" s="162"/>
      <c r="V19" s="476" t="str">
        <f>'11月'!D7</f>
        <v>有機青菜</v>
      </c>
      <c r="W19" s="252" t="s">
        <v>387</v>
      </c>
      <c r="X19" s="158">
        <v>62</v>
      </c>
      <c r="Y19" s="241">
        <f t="shared" si="7"/>
        <v>90</v>
      </c>
      <c r="Z19" s="149" t="s">
        <v>8</v>
      </c>
      <c r="AA19" s="161"/>
      <c r="AB19" s="162">
        <f t="shared" si="3"/>
        <v>0</v>
      </c>
      <c r="AC19" s="466" t="str">
        <f>'11月'!E7</f>
        <v>有機青菜</v>
      </c>
      <c r="AD19" s="252" t="s">
        <v>491</v>
      </c>
      <c r="AE19" s="158">
        <v>65.5</v>
      </c>
      <c r="AF19" s="241">
        <f t="shared" si="6"/>
        <v>95</v>
      </c>
      <c r="AG19" s="149" t="s">
        <v>8</v>
      </c>
      <c r="AH19" s="161"/>
      <c r="AI19" s="254">
        <f t="shared" si="4"/>
        <v>0</v>
      </c>
      <c r="AJ19" s="189"/>
      <c r="AK19" s="189"/>
      <c r="AL19" s="159"/>
      <c r="AM19" s="149"/>
    </row>
    <row r="20" spans="1:39" s="150" customFormat="1" ht="18.75" customHeight="1">
      <c r="A20" s="475"/>
      <c r="B20" s="152" t="s">
        <v>330</v>
      </c>
      <c r="C20" s="375">
        <v>0.4</v>
      </c>
      <c r="D20" s="241">
        <f>ROUND($D$4*C20/1000,1)</f>
        <v>0.6</v>
      </c>
      <c r="E20" s="207" t="s">
        <v>8</v>
      </c>
      <c r="F20" s="389">
        <v>188</v>
      </c>
      <c r="G20" s="162">
        <f t="shared" si="0"/>
        <v>112.8</v>
      </c>
      <c r="H20" s="476"/>
      <c r="I20" s="152" t="s">
        <v>330</v>
      </c>
      <c r="J20" s="375">
        <v>0.4</v>
      </c>
      <c r="K20" s="241">
        <f>ROUND($K$4*J20/1000,1)</f>
        <v>0.6</v>
      </c>
      <c r="L20" s="207" t="s">
        <v>8</v>
      </c>
      <c r="M20" s="389">
        <v>188</v>
      </c>
      <c r="N20" s="162">
        <f t="shared" si="5"/>
        <v>112.8</v>
      </c>
      <c r="O20" s="494"/>
      <c r="P20" s="155" t="s">
        <v>378</v>
      </c>
      <c r="Q20" s="147"/>
      <c r="R20" s="241" t="s">
        <v>195</v>
      </c>
      <c r="S20" s="160"/>
      <c r="T20" s="255"/>
      <c r="U20" s="162"/>
      <c r="V20" s="476"/>
      <c r="W20" s="152" t="s">
        <v>330</v>
      </c>
      <c r="X20" s="148">
        <v>0.4</v>
      </c>
      <c r="Y20" s="241">
        <f>ROUND($Y$4*X20/1000,1)</f>
        <v>0.6</v>
      </c>
      <c r="Z20" s="207" t="s">
        <v>8</v>
      </c>
      <c r="AA20" s="255">
        <v>213</v>
      </c>
      <c r="AB20" s="162">
        <f t="shared" si="3"/>
        <v>127.8</v>
      </c>
      <c r="AC20" s="466"/>
      <c r="AD20" s="152" t="s">
        <v>330</v>
      </c>
      <c r="AE20" s="147">
        <v>0.4</v>
      </c>
      <c r="AF20" s="241">
        <f>ROUND($AF$4*AE20/1000,1)</f>
        <v>0.6</v>
      </c>
      <c r="AG20" s="230" t="s">
        <v>8</v>
      </c>
      <c r="AH20" s="255">
        <v>213</v>
      </c>
      <c r="AI20" s="254">
        <f t="shared" si="4"/>
        <v>127.8</v>
      </c>
      <c r="AJ20" s="206"/>
      <c r="AK20" s="189"/>
      <c r="AL20" s="159"/>
      <c r="AM20" s="149"/>
    </row>
    <row r="21" spans="1:39" s="150" customFormat="1" ht="18.75" customHeight="1">
      <c r="A21" s="475"/>
      <c r="B21" s="155"/>
      <c r="C21" s="147"/>
      <c r="D21" s="241"/>
      <c r="E21" s="149"/>
      <c r="F21" s="161"/>
      <c r="G21" s="162">
        <f t="shared" si="0"/>
        <v>0</v>
      </c>
      <c r="H21" s="476"/>
      <c r="I21" s="374"/>
      <c r="J21" s="375"/>
      <c r="K21" s="241"/>
      <c r="L21" s="160"/>
      <c r="M21" s="161"/>
      <c r="N21" s="162">
        <f>K21*M21</f>
        <v>0</v>
      </c>
      <c r="O21" s="495"/>
      <c r="P21" s="240" t="s">
        <v>376</v>
      </c>
      <c r="Q21" s="240"/>
      <c r="R21" s="241" t="s">
        <v>195</v>
      </c>
      <c r="S21" s="244"/>
      <c r="T21" s="161"/>
      <c r="U21" s="162"/>
      <c r="V21" s="476"/>
      <c r="W21" s="147"/>
      <c r="X21" s="147"/>
      <c r="Y21" s="241"/>
      <c r="Z21" s="149"/>
      <c r="AA21" s="161"/>
      <c r="AB21" s="162">
        <f t="shared" si="3"/>
        <v>0</v>
      </c>
      <c r="AC21" s="466"/>
      <c r="AD21" s="147"/>
      <c r="AE21" s="147"/>
      <c r="AF21" s="241"/>
      <c r="AG21" s="160"/>
      <c r="AH21" s="161"/>
      <c r="AI21" s="254">
        <f t="shared" si="4"/>
        <v>0</v>
      </c>
      <c r="AJ21" s="189"/>
      <c r="AK21" s="189"/>
      <c r="AL21" s="159"/>
      <c r="AM21" s="149"/>
    </row>
    <row r="22" spans="1:39" s="150" customFormat="1" ht="18.75" customHeight="1">
      <c r="A22" s="475"/>
      <c r="B22" s="155"/>
      <c r="C22" s="147"/>
      <c r="D22" s="241"/>
      <c r="E22" s="149"/>
      <c r="F22" s="161"/>
      <c r="G22" s="162">
        <f t="shared" si="0"/>
        <v>0</v>
      </c>
      <c r="H22" s="476"/>
      <c r="I22" s="208"/>
      <c r="J22" s="208"/>
      <c r="K22" s="241"/>
      <c r="L22" s="207"/>
      <c r="M22" s="161"/>
      <c r="N22" s="162"/>
      <c r="O22" s="490" t="str">
        <f>'11月'!C6</f>
        <v>木須銀芽</v>
      </c>
      <c r="P22" s="158" t="s">
        <v>351</v>
      </c>
      <c r="Q22" s="148">
        <v>55</v>
      </c>
      <c r="R22" s="241">
        <f>ROUND($R$4*Q22/1000,0)</f>
        <v>80</v>
      </c>
      <c r="S22" s="207" t="s">
        <v>8</v>
      </c>
      <c r="T22" s="161">
        <v>25</v>
      </c>
      <c r="U22" s="162">
        <f t="shared" si="2"/>
        <v>2000</v>
      </c>
      <c r="V22" s="476"/>
      <c r="W22" s="147"/>
      <c r="X22" s="147"/>
      <c r="Y22" s="241"/>
      <c r="Z22" s="149"/>
      <c r="AA22" s="161"/>
      <c r="AB22" s="162">
        <f t="shared" si="3"/>
        <v>0</v>
      </c>
      <c r="AC22" s="466"/>
      <c r="AD22" s="226"/>
      <c r="AE22" s="227"/>
      <c r="AF22" s="241"/>
      <c r="AG22" s="149"/>
      <c r="AH22" s="161"/>
      <c r="AI22" s="254">
        <f t="shared" si="4"/>
        <v>0</v>
      </c>
      <c r="AJ22" s="189"/>
      <c r="AK22" s="189"/>
      <c r="AL22" s="159"/>
      <c r="AM22" s="160"/>
    </row>
    <row r="23" spans="1:42" s="150" customFormat="1" ht="18.75" customHeight="1">
      <c r="A23" s="462" t="str">
        <f>'11月'!A8</f>
        <v>冬瓜薏仁湯</v>
      </c>
      <c r="B23" s="341" t="s">
        <v>361</v>
      </c>
      <c r="C23" s="341">
        <v>34.5</v>
      </c>
      <c r="D23" s="241">
        <f>ROUND($D$4*C23/1000,0)</f>
        <v>50</v>
      </c>
      <c r="E23" s="149" t="s">
        <v>8</v>
      </c>
      <c r="F23" s="389">
        <v>79</v>
      </c>
      <c r="G23" s="162">
        <f t="shared" si="0"/>
        <v>3950</v>
      </c>
      <c r="H23" s="462" t="str">
        <f>'11月'!B8</f>
        <v>豆薯肉絲湯</v>
      </c>
      <c r="I23" s="147" t="s">
        <v>314</v>
      </c>
      <c r="J23" s="147">
        <v>25</v>
      </c>
      <c r="K23" s="241">
        <f>ROUND($K$4*J23/1000,0)</f>
        <v>36</v>
      </c>
      <c r="L23" s="160" t="s">
        <v>8</v>
      </c>
      <c r="M23" s="389">
        <v>95</v>
      </c>
      <c r="N23" s="162">
        <f t="shared" si="5"/>
        <v>3420</v>
      </c>
      <c r="O23" s="490"/>
      <c r="P23" s="152" t="s">
        <v>352</v>
      </c>
      <c r="Q23" s="148">
        <v>1.5</v>
      </c>
      <c r="R23" s="241">
        <f>ROUND($R$4*Q23/1000,0)</f>
        <v>2</v>
      </c>
      <c r="S23" s="207" t="s">
        <v>8</v>
      </c>
      <c r="T23" s="256">
        <v>115</v>
      </c>
      <c r="U23" s="162">
        <f t="shared" si="2"/>
        <v>230</v>
      </c>
      <c r="V23" s="462" t="str">
        <f>'11月'!D8</f>
        <v>關東煮</v>
      </c>
      <c r="W23" s="147" t="s">
        <v>461</v>
      </c>
      <c r="X23" s="147">
        <v>7</v>
      </c>
      <c r="Y23" s="241">
        <f>ROUND($Y$4*X23/1000,0)</f>
        <v>10</v>
      </c>
      <c r="Z23" s="160" t="s">
        <v>8</v>
      </c>
      <c r="AA23" s="256">
        <v>120</v>
      </c>
      <c r="AB23" s="162">
        <f t="shared" si="3"/>
        <v>1200</v>
      </c>
      <c r="AC23" s="480" t="str">
        <f>'11月'!E8</f>
        <v>海帶結排骨湯</v>
      </c>
      <c r="AD23" s="216" t="s">
        <v>388</v>
      </c>
      <c r="AE23" s="147">
        <v>25</v>
      </c>
      <c r="AF23" s="241">
        <f t="shared" si="6"/>
        <v>36</v>
      </c>
      <c r="AG23" s="149" t="s">
        <v>8</v>
      </c>
      <c r="AH23" s="255">
        <v>48</v>
      </c>
      <c r="AI23" s="254">
        <f t="shared" si="4"/>
        <v>1728</v>
      </c>
      <c r="AJ23" s="147"/>
      <c r="AK23" s="147"/>
      <c r="AL23" s="159"/>
      <c r="AM23" s="160"/>
      <c r="AN23" s="98"/>
      <c r="AO23" s="98"/>
      <c r="AP23" s="98"/>
    </row>
    <row r="24" spans="1:42" s="150" customFormat="1" ht="18.75" customHeight="1">
      <c r="A24" s="462"/>
      <c r="B24" s="350" t="s">
        <v>452</v>
      </c>
      <c r="C24" s="350">
        <v>3.5</v>
      </c>
      <c r="D24" s="241">
        <f>ROUND($D$4*C24/1000,0)</f>
        <v>5</v>
      </c>
      <c r="E24" s="149" t="s">
        <v>8</v>
      </c>
      <c r="F24" s="389">
        <v>115</v>
      </c>
      <c r="G24" s="162">
        <f t="shared" si="0"/>
        <v>575</v>
      </c>
      <c r="H24" s="462"/>
      <c r="I24" s="375" t="s">
        <v>315</v>
      </c>
      <c r="J24" s="147">
        <v>5</v>
      </c>
      <c r="K24" s="394">
        <v>12</v>
      </c>
      <c r="L24" s="160" t="s">
        <v>8</v>
      </c>
      <c r="M24" s="389">
        <v>217</v>
      </c>
      <c r="N24" s="162">
        <f t="shared" si="5"/>
        <v>2604</v>
      </c>
      <c r="O24" s="492"/>
      <c r="P24" s="152" t="s">
        <v>330</v>
      </c>
      <c r="Q24" s="148">
        <v>0.4</v>
      </c>
      <c r="R24" s="241">
        <f>ROUND($R$4*Q24/1000,1)</f>
        <v>0.6</v>
      </c>
      <c r="S24" s="207" t="s">
        <v>8</v>
      </c>
      <c r="T24" s="255">
        <v>213</v>
      </c>
      <c r="U24" s="162">
        <f t="shared" si="2"/>
        <v>127.8</v>
      </c>
      <c r="V24" s="462"/>
      <c r="W24" s="147" t="s">
        <v>462</v>
      </c>
      <c r="X24" s="147">
        <v>27.5</v>
      </c>
      <c r="Y24" s="241">
        <f t="shared" si="7"/>
        <v>40</v>
      </c>
      <c r="Z24" s="160" t="s">
        <v>8</v>
      </c>
      <c r="AA24" s="255">
        <v>48</v>
      </c>
      <c r="AB24" s="162">
        <f t="shared" si="3"/>
        <v>1920</v>
      </c>
      <c r="AC24" s="480"/>
      <c r="AD24" s="147" t="s">
        <v>295</v>
      </c>
      <c r="AE24" s="147">
        <v>6</v>
      </c>
      <c r="AF24" s="241">
        <f t="shared" si="6"/>
        <v>9</v>
      </c>
      <c r="AG24" s="149" t="s">
        <v>8</v>
      </c>
      <c r="AH24" s="255">
        <v>120</v>
      </c>
      <c r="AI24" s="254">
        <f t="shared" si="4"/>
        <v>1080</v>
      </c>
      <c r="AL24" s="98"/>
      <c r="AM24" s="98"/>
      <c r="AN24" s="98"/>
      <c r="AO24" s="98"/>
      <c r="AP24" s="98"/>
    </row>
    <row r="25" spans="1:42" s="150" customFormat="1" ht="18.75" customHeight="1">
      <c r="A25" s="462"/>
      <c r="B25" s="350" t="s">
        <v>304</v>
      </c>
      <c r="C25" s="350">
        <v>5</v>
      </c>
      <c r="D25" s="241">
        <v>6</v>
      </c>
      <c r="E25" s="149" t="s">
        <v>8</v>
      </c>
      <c r="F25" s="389">
        <v>60</v>
      </c>
      <c r="G25" s="162">
        <f t="shared" si="0"/>
        <v>360</v>
      </c>
      <c r="H25" s="462"/>
      <c r="I25" s="147" t="s">
        <v>205</v>
      </c>
      <c r="J25" s="147">
        <v>0.2</v>
      </c>
      <c r="K25" s="241">
        <f>ROUND($K$4*J25/1000,1)</f>
        <v>0.3</v>
      </c>
      <c r="L25" s="160" t="s">
        <v>8</v>
      </c>
      <c r="M25" s="389">
        <v>100</v>
      </c>
      <c r="N25" s="162">
        <f t="shared" si="5"/>
        <v>30</v>
      </c>
      <c r="O25" s="490" t="str">
        <f>'11月'!C7</f>
        <v>現磨豆漿</v>
      </c>
      <c r="P25" s="151" t="s">
        <v>380</v>
      </c>
      <c r="Q25" s="147">
        <v>21</v>
      </c>
      <c r="R25" s="241" t="s">
        <v>195</v>
      </c>
      <c r="S25" s="160" t="s">
        <v>8</v>
      </c>
      <c r="T25" s="255"/>
      <c r="U25" s="162"/>
      <c r="V25" s="462"/>
      <c r="W25" s="147" t="s">
        <v>463</v>
      </c>
      <c r="X25" s="147">
        <v>6</v>
      </c>
      <c r="Y25" s="241">
        <f t="shared" si="7"/>
        <v>9</v>
      </c>
      <c r="Z25" s="160" t="s">
        <v>8</v>
      </c>
      <c r="AA25" s="255">
        <v>100</v>
      </c>
      <c r="AB25" s="162">
        <f t="shared" si="3"/>
        <v>900</v>
      </c>
      <c r="AC25" s="480"/>
      <c r="AD25" s="147" t="s">
        <v>296</v>
      </c>
      <c r="AE25" s="147">
        <v>4</v>
      </c>
      <c r="AF25" s="241">
        <f t="shared" si="6"/>
        <v>6</v>
      </c>
      <c r="AG25" s="149" t="s">
        <v>8</v>
      </c>
      <c r="AH25" s="255">
        <v>80</v>
      </c>
      <c r="AI25" s="254">
        <f t="shared" si="4"/>
        <v>480</v>
      </c>
      <c r="AL25" s="98"/>
      <c r="AM25" s="98"/>
      <c r="AN25" s="98"/>
      <c r="AO25" s="98"/>
      <c r="AP25" s="98"/>
    </row>
    <row r="26" spans="1:42" s="150" customFormat="1" ht="18.75" customHeight="1">
      <c r="A26" s="462"/>
      <c r="B26" s="350" t="s">
        <v>205</v>
      </c>
      <c r="C26" s="350">
        <v>0.2</v>
      </c>
      <c r="D26" s="241">
        <f>ROUND($D$4*C26/1000,1)</f>
        <v>0.3</v>
      </c>
      <c r="E26" s="149" t="s">
        <v>8</v>
      </c>
      <c r="F26" s="389">
        <v>100</v>
      </c>
      <c r="G26" s="162">
        <f t="shared" si="0"/>
        <v>30</v>
      </c>
      <c r="H26" s="462"/>
      <c r="I26" s="147" t="s">
        <v>291</v>
      </c>
      <c r="J26" s="147">
        <v>1</v>
      </c>
      <c r="K26" s="241">
        <f>ROUND($K$4*J26/1000,1)</f>
        <v>1.5</v>
      </c>
      <c r="L26" s="160" t="s">
        <v>8</v>
      </c>
      <c r="M26" s="389">
        <v>202</v>
      </c>
      <c r="N26" s="162">
        <f t="shared" si="5"/>
        <v>303</v>
      </c>
      <c r="O26" s="490"/>
      <c r="P26" s="147" t="s">
        <v>302</v>
      </c>
      <c r="Q26" s="147">
        <v>17.5</v>
      </c>
      <c r="R26" s="241">
        <f>ROUND($AF$4*Q26/1000,0)/25</f>
        <v>1</v>
      </c>
      <c r="S26" s="160" t="s">
        <v>289</v>
      </c>
      <c r="T26" s="255">
        <v>1100</v>
      </c>
      <c r="U26" s="162">
        <f t="shared" si="2"/>
        <v>1100</v>
      </c>
      <c r="V26" s="462"/>
      <c r="W26" s="148" t="s">
        <v>464</v>
      </c>
      <c r="X26" s="148">
        <v>7</v>
      </c>
      <c r="Y26" s="241">
        <f t="shared" si="7"/>
        <v>10</v>
      </c>
      <c r="Z26" s="160" t="s">
        <v>8</v>
      </c>
      <c r="AA26" s="255">
        <v>181</v>
      </c>
      <c r="AB26" s="162">
        <f t="shared" si="3"/>
        <v>1810</v>
      </c>
      <c r="AC26" s="480"/>
      <c r="AD26" s="147" t="s">
        <v>205</v>
      </c>
      <c r="AE26" s="147">
        <v>0.2</v>
      </c>
      <c r="AF26" s="241">
        <f>ROUND($AF$4*AE26/1000,1)</f>
        <v>0.3</v>
      </c>
      <c r="AG26" s="160" t="s">
        <v>8</v>
      </c>
      <c r="AH26" s="255">
        <v>110</v>
      </c>
      <c r="AI26" s="254">
        <f t="shared" si="4"/>
        <v>33</v>
      </c>
      <c r="AL26" s="98"/>
      <c r="AM26" s="98"/>
      <c r="AN26" s="98"/>
      <c r="AO26" s="98"/>
      <c r="AP26" s="98"/>
    </row>
    <row r="27" spans="1:42" s="150" customFormat="1" ht="18.75" customHeight="1">
      <c r="A27" s="462"/>
      <c r="B27" s="341"/>
      <c r="C27" s="355"/>
      <c r="D27" s="241"/>
      <c r="E27" s="149"/>
      <c r="F27" s="389"/>
      <c r="G27" s="162">
        <f t="shared" si="0"/>
        <v>0</v>
      </c>
      <c r="H27" s="462"/>
      <c r="I27" s="158"/>
      <c r="J27" s="375"/>
      <c r="K27" s="241"/>
      <c r="L27" s="160"/>
      <c r="M27" s="389"/>
      <c r="N27" s="162">
        <f t="shared" si="5"/>
        <v>0</v>
      </c>
      <c r="O27" s="490"/>
      <c r="P27" s="214"/>
      <c r="Q27" s="148"/>
      <c r="R27" s="159"/>
      <c r="S27" s="160"/>
      <c r="T27" s="255"/>
      <c r="U27" s="162">
        <f t="shared" si="2"/>
        <v>0</v>
      </c>
      <c r="V27" s="462"/>
      <c r="W27" s="147"/>
      <c r="X27" s="147"/>
      <c r="Y27" s="241"/>
      <c r="Z27" s="160"/>
      <c r="AA27" s="255"/>
      <c r="AB27" s="162">
        <f t="shared" si="3"/>
        <v>0</v>
      </c>
      <c r="AC27" s="480"/>
      <c r="AD27" s="147"/>
      <c r="AE27" s="147"/>
      <c r="AF27" s="241"/>
      <c r="AG27" s="160"/>
      <c r="AH27" s="255"/>
      <c r="AI27" s="254">
        <f t="shared" si="4"/>
        <v>0</v>
      </c>
      <c r="AL27" s="98"/>
      <c r="AM27" s="98"/>
      <c r="AN27" s="98"/>
      <c r="AO27" s="98"/>
      <c r="AP27" s="98"/>
    </row>
    <row r="28" spans="1:42" s="150" customFormat="1" ht="18.75" customHeight="1">
      <c r="A28" s="462"/>
      <c r="B28" s="385"/>
      <c r="C28" s="353"/>
      <c r="D28" s="241"/>
      <c r="E28" s="149"/>
      <c r="F28" s="389"/>
      <c r="G28" s="162">
        <f t="shared" si="0"/>
        <v>0</v>
      </c>
      <c r="H28" s="462"/>
      <c r="I28" s="147"/>
      <c r="J28" s="147"/>
      <c r="K28" s="241"/>
      <c r="L28" s="209"/>
      <c r="M28" s="389"/>
      <c r="N28" s="162">
        <f t="shared" si="5"/>
        <v>0</v>
      </c>
      <c r="O28" s="490"/>
      <c r="P28" s="215"/>
      <c r="Q28" s="148"/>
      <c r="R28" s="159"/>
      <c r="S28" s="160"/>
      <c r="T28" s="255"/>
      <c r="U28" s="162">
        <f t="shared" si="2"/>
        <v>0</v>
      </c>
      <c r="V28" s="462"/>
      <c r="W28" s="154"/>
      <c r="X28" s="147"/>
      <c r="Y28" s="241"/>
      <c r="Z28" s="160"/>
      <c r="AA28" s="255"/>
      <c r="AB28" s="162">
        <f t="shared" si="3"/>
        <v>0</v>
      </c>
      <c r="AC28" s="480"/>
      <c r="AD28" s="147"/>
      <c r="AE28" s="147"/>
      <c r="AF28" s="159"/>
      <c r="AG28" s="160"/>
      <c r="AH28" s="255"/>
      <c r="AI28" s="254">
        <f t="shared" si="4"/>
        <v>0</v>
      </c>
      <c r="AJ28" s="150">
        <f>AJ29-N23-N27-U17-AB5-AB7-AB14-AB16-AB26-AI15-AI23</f>
        <v>198082</v>
      </c>
      <c r="AK28" s="150">
        <f>AJ28/5</f>
        <v>39616.4</v>
      </c>
      <c r="AL28" s="98"/>
      <c r="AM28" s="98"/>
      <c r="AN28" s="98"/>
      <c r="AO28" s="98"/>
      <c r="AP28" s="98"/>
    </row>
    <row r="29" spans="1:42" s="150" customFormat="1" ht="18.75" customHeight="1" thickBot="1">
      <c r="A29" s="463"/>
      <c r="B29" s="395"/>
      <c r="C29" s="167"/>
      <c r="D29" s="396"/>
      <c r="E29" s="397"/>
      <c r="F29" s="161"/>
      <c r="G29" s="162">
        <f t="shared" si="0"/>
        <v>0</v>
      </c>
      <c r="H29" s="463"/>
      <c r="I29" s="167" t="s">
        <v>369</v>
      </c>
      <c r="J29" s="210">
        <v>1</v>
      </c>
      <c r="K29" s="241">
        <f>ROUND($K$4*J29,0)</f>
        <v>1450</v>
      </c>
      <c r="L29" s="396" t="s">
        <v>10</v>
      </c>
      <c r="M29" s="161">
        <v>12</v>
      </c>
      <c r="N29" s="213">
        <f t="shared" si="5"/>
        <v>17400</v>
      </c>
      <c r="O29" s="490"/>
      <c r="P29" s="212" t="s">
        <v>449</v>
      </c>
      <c r="Q29" s="167"/>
      <c r="R29" s="156"/>
      <c r="S29" s="157"/>
      <c r="T29" s="161"/>
      <c r="U29" s="162">
        <f t="shared" si="2"/>
        <v>0</v>
      </c>
      <c r="V29" s="463"/>
      <c r="W29" s="212"/>
      <c r="X29" s="167"/>
      <c r="Y29" s="156"/>
      <c r="Z29" s="157"/>
      <c r="AA29" s="161"/>
      <c r="AB29" s="162">
        <f t="shared" si="3"/>
        <v>0</v>
      </c>
      <c r="AC29" s="481"/>
      <c r="AD29" s="231"/>
      <c r="AE29" s="232"/>
      <c r="AF29" s="233"/>
      <c r="AG29" s="234"/>
      <c r="AH29" s="161"/>
      <c r="AI29" s="254">
        <f t="shared" si="4"/>
        <v>0</v>
      </c>
      <c r="AJ29" s="150">
        <f>(F30+M30+T30+AA30+AH30)</f>
        <v>231855</v>
      </c>
      <c r="AL29" s="101"/>
      <c r="AM29" s="101"/>
      <c r="AN29" s="101"/>
      <c r="AO29" s="101"/>
      <c r="AP29" s="101"/>
    </row>
    <row r="30" spans="1:42" s="98" customFormat="1" ht="18.75" customHeight="1">
      <c r="A30" s="504" t="s">
        <v>11</v>
      </c>
      <c r="B30" s="89" t="s">
        <v>210</v>
      </c>
      <c r="C30" s="473">
        <v>4.2</v>
      </c>
      <c r="D30" s="473">
        <f>F30</f>
        <v>48230.8</v>
      </c>
      <c r="E30" s="474"/>
      <c r="F30" s="469">
        <f>SUM(G4:G29)</f>
        <v>48230.8</v>
      </c>
      <c r="G30" s="469"/>
      <c r="H30" s="470" t="s">
        <v>11</v>
      </c>
      <c r="I30" s="89" t="s">
        <v>262</v>
      </c>
      <c r="J30" s="467">
        <v>4.3</v>
      </c>
      <c r="K30" s="467"/>
      <c r="L30" s="468"/>
      <c r="M30" s="469">
        <f>SUM(N4:N29)</f>
        <v>62973.8</v>
      </c>
      <c r="N30" s="469"/>
      <c r="O30" s="496" t="s">
        <v>11</v>
      </c>
      <c r="P30" s="89" t="s">
        <v>210</v>
      </c>
      <c r="Q30" s="473">
        <v>4</v>
      </c>
      <c r="R30" s="473">
        <f>T30</f>
        <v>38629.8</v>
      </c>
      <c r="S30" s="473"/>
      <c r="T30" s="477">
        <f>SUM(U4:U29)</f>
        <v>38629.8</v>
      </c>
      <c r="U30" s="469"/>
      <c r="V30" s="470" t="s">
        <v>11</v>
      </c>
      <c r="W30" s="89" t="s">
        <v>210</v>
      </c>
      <c r="X30" s="473">
        <v>4.2</v>
      </c>
      <c r="Y30" s="473"/>
      <c r="Z30" s="474"/>
      <c r="AA30" s="469">
        <f>SUM(AB4:AB29)</f>
        <v>43801.8</v>
      </c>
      <c r="AB30" s="469"/>
      <c r="AC30" s="470" t="s">
        <v>11</v>
      </c>
      <c r="AD30" s="89" t="s">
        <v>210</v>
      </c>
      <c r="AE30" s="473">
        <v>4.6</v>
      </c>
      <c r="AF30" s="473"/>
      <c r="AG30" s="484"/>
      <c r="AH30" s="486">
        <f>SUM(AI4:AI29)</f>
        <v>38218.8</v>
      </c>
      <c r="AI30" s="487"/>
      <c r="AJ30" s="102">
        <f aca="true" t="shared" si="8" ref="AJ30:AJ35">(AE30+X30+Q30+J30+C30)/5</f>
        <v>4.26</v>
      </c>
      <c r="AL30" s="120"/>
      <c r="AM30" s="120"/>
      <c r="AN30" s="120"/>
      <c r="AO30" s="120"/>
      <c r="AP30" s="120"/>
    </row>
    <row r="31" spans="1:42" s="98" customFormat="1" ht="18.75" customHeight="1">
      <c r="A31" s="505"/>
      <c r="B31" s="90" t="s">
        <v>211</v>
      </c>
      <c r="C31" s="482">
        <v>2.1</v>
      </c>
      <c r="D31" s="482"/>
      <c r="E31" s="483"/>
      <c r="F31" s="131"/>
      <c r="G31" s="398"/>
      <c r="H31" s="471"/>
      <c r="I31" s="90" t="s">
        <v>263</v>
      </c>
      <c r="J31" s="478">
        <v>2.6</v>
      </c>
      <c r="K31" s="478"/>
      <c r="L31" s="479"/>
      <c r="M31" s="132"/>
      <c r="N31" s="106"/>
      <c r="O31" s="497"/>
      <c r="P31" s="90" t="s">
        <v>200</v>
      </c>
      <c r="Q31" s="482">
        <v>2.6</v>
      </c>
      <c r="R31" s="482"/>
      <c r="S31" s="482"/>
      <c r="T31" s="132"/>
      <c r="U31" s="191"/>
      <c r="V31" s="471"/>
      <c r="W31" s="90" t="s">
        <v>211</v>
      </c>
      <c r="X31" s="482">
        <v>2.4</v>
      </c>
      <c r="Y31" s="482"/>
      <c r="Z31" s="483"/>
      <c r="AA31" s="133"/>
      <c r="AB31" s="104"/>
      <c r="AC31" s="471"/>
      <c r="AD31" s="90" t="s">
        <v>211</v>
      </c>
      <c r="AE31" s="482">
        <v>2.3</v>
      </c>
      <c r="AF31" s="482"/>
      <c r="AG31" s="485"/>
      <c r="AH31" s="134"/>
      <c r="AI31" s="108"/>
      <c r="AJ31" s="102">
        <f t="shared" si="8"/>
        <v>2.3999999999999995</v>
      </c>
      <c r="AL31" s="126"/>
      <c r="AM31" s="126"/>
      <c r="AN31" s="126"/>
      <c r="AO31" s="126"/>
      <c r="AP31" s="126"/>
    </row>
    <row r="32" spans="1:42" s="98" customFormat="1" ht="18.75" customHeight="1">
      <c r="A32" s="505"/>
      <c r="B32" s="91" t="s">
        <v>18</v>
      </c>
      <c r="C32" s="482">
        <v>1.7</v>
      </c>
      <c r="D32" s="482"/>
      <c r="E32" s="483"/>
      <c r="F32" s="131"/>
      <c r="G32" s="398"/>
      <c r="H32" s="471"/>
      <c r="I32" s="91" t="s">
        <v>264</v>
      </c>
      <c r="J32" s="478">
        <v>1.2</v>
      </c>
      <c r="K32" s="478"/>
      <c r="L32" s="479"/>
      <c r="M32" s="132"/>
      <c r="N32" s="106"/>
      <c r="O32" s="497"/>
      <c r="P32" s="91" t="s">
        <v>18</v>
      </c>
      <c r="Q32" s="482">
        <v>2</v>
      </c>
      <c r="R32" s="482"/>
      <c r="S32" s="482"/>
      <c r="T32" s="132"/>
      <c r="U32" s="191"/>
      <c r="V32" s="471"/>
      <c r="W32" s="91" t="s">
        <v>18</v>
      </c>
      <c r="X32" s="482">
        <v>1.6</v>
      </c>
      <c r="Y32" s="482"/>
      <c r="Z32" s="483"/>
      <c r="AA32" s="133"/>
      <c r="AB32" s="104"/>
      <c r="AC32" s="471"/>
      <c r="AD32" s="91" t="s">
        <v>18</v>
      </c>
      <c r="AE32" s="482">
        <v>1.5</v>
      </c>
      <c r="AF32" s="482"/>
      <c r="AG32" s="485"/>
      <c r="AH32" s="134"/>
      <c r="AI32" s="108"/>
      <c r="AJ32" s="102">
        <f>(AE32+X32+Q32+J32+C32)/5</f>
        <v>1.6</v>
      </c>
      <c r="AL32" s="126"/>
      <c r="AM32" s="126"/>
      <c r="AN32" s="126"/>
      <c r="AO32" s="126"/>
      <c r="AP32" s="126"/>
    </row>
    <row r="33" spans="1:42" s="98" customFormat="1" ht="18.75" customHeight="1">
      <c r="A33" s="505"/>
      <c r="B33" s="91" t="s">
        <v>19</v>
      </c>
      <c r="C33" s="482">
        <v>2.5</v>
      </c>
      <c r="D33" s="482"/>
      <c r="E33" s="483"/>
      <c r="F33" s="131"/>
      <c r="G33" s="398"/>
      <c r="H33" s="471"/>
      <c r="I33" s="91" t="s">
        <v>265</v>
      </c>
      <c r="J33" s="478">
        <v>2.5</v>
      </c>
      <c r="K33" s="478"/>
      <c r="L33" s="479"/>
      <c r="M33" s="132"/>
      <c r="N33" s="106"/>
      <c r="O33" s="497"/>
      <c r="P33" s="91" t="s">
        <v>19</v>
      </c>
      <c r="Q33" s="482">
        <v>2.5</v>
      </c>
      <c r="R33" s="482"/>
      <c r="S33" s="482"/>
      <c r="T33" s="132"/>
      <c r="U33" s="191"/>
      <c r="V33" s="471"/>
      <c r="W33" s="91" t="s">
        <v>19</v>
      </c>
      <c r="X33" s="482">
        <v>2.5</v>
      </c>
      <c r="Y33" s="482"/>
      <c r="Z33" s="483"/>
      <c r="AA33" s="133"/>
      <c r="AB33" s="104"/>
      <c r="AC33" s="471"/>
      <c r="AD33" s="91" t="s">
        <v>19</v>
      </c>
      <c r="AE33" s="482">
        <v>2.5</v>
      </c>
      <c r="AF33" s="482"/>
      <c r="AG33" s="485"/>
      <c r="AH33" s="134"/>
      <c r="AI33" s="108"/>
      <c r="AJ33" s="102">
        <f t="shared" si="8"/>
        <v>2.5</v>
      </c>
      <c r="AL33" s="126"/>
      <c r="AM33" s="126"/>
      <c r="AN33" s="126"/>
      <c r="AO33" s="126"/>
      <c r="AP33" s="126"/>
    </row>
    <row r="34" spans="1:42" s="98" customFormat="1" ht="18.75" customHeight="1">
      <c r="A34" s="505"/>
      <c r="B34" s="90" t="s">
        <v>223</v>
      </c>
      <c r="C34" s="482">
        <v>0</v>
      </c>
      <c r="D34" s="482"/>
      <c r="E34" s="483"/>
      <c r="F34" s="131"/>
      <c r="G34" s="398"/>
      <c r="H34" s="471"/>
      <c r="I34" s="90" t="s">
        <v>266</v>
      </c>
      <c r="J34" s="478">
        <v>1</v>
      </c>
      <c r="K34" s="478"/>
      <c r="L34" s="479"/>
      <c r="M34" s="135"/>
      <c r="N34" s="106"/>
      <c r="O34" s="497"/>
      <c r="P34" s="90" t="s">
        <v>257</v>
      </c>
      <c r="Q34" s="482">
        <v>0</v>
      </c>
      <c r="R34" s="482"/>
      <c r="S34" s="482"/>
      <c r="T34" s="132"/>
      <c r="U34" s="191"/>
      <c r="V34" s="471"/>
      <c r="W34" s="90" t="s">
        <v>212</v>
      </c>
      <c r="X34" s="482">
        <v>0</v>
      </c>
      <c r="Y34" s="482"/>
      <c r="Z34" s="483"/>
      <c r="AA34" s="133"/>
      <c r="AB34" s="104"/>
      <c r="AC34" s="471"/>
      <c r="AD34" s="90" t="s">
        <v>220</v>
      </c>
      <c r="AE34" s="482">
        <v>0</v>
      </c>
      <c r="AF34" s="482"/>
      <c r="AG34" s="485"/>
      <c r="AH34" s="134"/>
      <c r="AI34" s="108"/>
      <c r="AJ34" s="102">
        <f>(AE34+X34+Q34+J34+C34)/5</f>
        <v>0.2</v>
      </c>
      <c r="AK34" s="98">
        <v>0</v>
      </c>
      <c r="AL34" s="126"/>
      <c r="AM34" s="126"/>
      <c r="AN34" s="126"/>
      <c r="AO34" s="126"/>
      <c r="AP34" s="126"/>
    </row>
    <row r="35" spans="1:42" s="98" customFormat="1" ht="18.75" customHeight="1" thickBot="1">
      <c r="A35" s="506"/>
      <c r="B35" s="92" t="s">
        <v>213</v>
      </c>
      <c r="C35" s="501">
        <f>C30*70+C31*75+C32*25+C33*45+C34*120</f>
        <v>606.5</v>
      </c>
      <c r="D35" s="501"/>
      <c r="E35" s="502"/>
      <c r="F35" s="136"/>
      <c r="G35" s="111"/>
      <c r="H35" s="472"/>
      <c r="I35" s="92" t="s">
        <v>267</v>
      </c>
      <c r="J35" s="501">
        <f>J30*70+J31*75+J32*25+J33*45+J34*60+40</f>
        <v>738.5</v>
      </c>
      <c r="K35" s="501"/>
      <c r="L35" s="502"/>
      <c r="M35" s="137"/>
      <c r="N35" s="113"/>
      <c r="O35" s="498"/>
      <c r="P35" s="92" t="s">
        <v>214</v>
      </c>
      <c r="Q35" s="488">
        <f>Q30*70+Q31*75+Q32*25+Q33*45+Q34*120</f>
        <v>637.5</v>
      </c>
      <c r="R35" s="488"/>
      <c r="S35" s="488"/>
      <c r="T35" s="137"/>
      <c r="U35" s="192"/>
      <c r="V35" s="472"/>
      <c r="W35" s="92" t="s">
        <v>214</v>
      </c>
      <c r="X35" s="488">
        <f>X30*70+X31*75+X32*25+X33*45+X34*60</f>
        <v>626.5</v>
      </c>
      <c r="Y35" s="488"/>
      <c r="Z35" s="503"/>
      <c r="AA35" s="138"/>
      <c r="AB35" s="111"/>
      <c r="AC35" s="472"/>
      <c r="AD35" s="92" t="s">
        <v>214</v>
      </c>
      <c r="AE35" s="488">
        <f>AE30*70+AE31*75+AE32*25+AE33*45+AE34*60</f>
        <v>644.5</v>
      </c>
      <c r="AF35" s="488"/>
      <c r="AG35" s="489"/>
      <c r="AH35" s="139"/>
      <c r="AI35" s="115"/>
      <c r="AJ35" s="102">
        <f t="shared" si="8"/>
        <v>650.7</v>
      </c>
      <c r="AL35" s="126"/>
      <c r="AM35" s="126"/>
      <c r="AN35" s="126"/>
      <c r="AO35" s="126"/>
      <c r="AP35" s="126"/>
    </row>
    <row r="36" spans="1:42" s="101" customFormat="1" ht="27" customHeight="1">
      <c r="A36" s="499" t="s">
        <v>225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L36" s="126"/>
      <c r="AM36" s="126"/>
      <c r="AN36" s="126"/>
      <c r="AO36" s="126"/>
      <c r="AP36" s="126"/>
    </row>
    <row r="37" spans="1:42" s="120" customFormat="1" ht="27.75" customHeight="1" hidden="1">
      <c r="A37" s="500" t="s">
        <v>215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116"/>
      <c r="S37" s="117"/>
      <c r="T37" s="140"/>
      <c r="U37" s="118"/>
      <c r="V37" s="117"/>
      <c r="W37" s="119"/>
      <c r="X37" s="116"/>
      <c r="Y37" s="117"/>
      <c r="Z37" s="116"/>
      <c r="AA37" s="140"/>
      <c r="AB37" s="117"/>
      <c r="AC37" s="116"/>
      <c r="AD37" s="119"/>
      <c r="AE37" s="117"/>
      <c r="AF37" s="116"/>
      <c r="AG37" s="118"/>
      <c r="AH37" s="364"/>
      <c r="AI37" s="119"/>
      <c r="AL37" s="126"/>
      <c r="AM37" s="126"/>
      <c r="AN37" s="126"/>
      <c r="AO37" s="126"/>
      <c r="AP37" s="126"/>
    </row>
  </sheetData>
  <sheetProtection selectLockedCells="1" selectUnlockedCells="1"/>
  <protectedRanges>
    <protectedRange sqref="AH20" name="進價_7_1"/>
    <protectedRange sqref="AH5:AH9" name="進價_17_1"/>
    <protectedRange sqref="AH12:AH17" name="進價_18_1"/>
    <protectedRange sqref="AH23:AH26" name="進價_19_1"/>
    <protectedRange sqref="T20 AA20" name="進價_20_1"/>
    <protectedRange sqref="T23:T28 AA23:AA28" name="進價_1_1_1"/>
    <protectedRange sqref="F20 M20" name="進價_20_1_1"/>
    <protectedRange sqref="F23:F28 M23:M28" name="進價_1_1_1_1"/>
  </protectedRanges>
  <mergeCells count="87">
    <mergeCell ref="A36:AI36"/>
    <mergeCell ref="A37:Q37"/>
    <mergeCell ref="AE34:AG34"/>
    <mergeCell ref="C35:E35"/>
    <mergeCell ref="J35:L35"/>
    <mergeCell ref="Q35:S35"/>
    <mergeCell ref="X35:Z35"/>
    <mergeCell ref="C34:E34"/>
    <mergeCell ref="A30:A35"/>
    <mergeCell ref="AE31:AG31"/>
    <mergeCell ref="O25:O29"/>
    <mergeCell ref="V30:V35"/>
    <mergeCell ref="AA30:AB30"/>
    <mergeCell ref="Q32:S32"/>
    <mergeCell ref="O5:O16"/>
    <mergeCell ref="O22:O24"/>
    <mergeCell ref="O17:O21"/>
    <mergeCell ref="O30:O35"/>
    <mergeCell ref="AE35:AG35"/>
    <mergeCell ref="Q34:S34"/>
    <mergeCell ref="Q33:S33"/>
    <mergeCell ref="X33:Z33"/>
    <mergeCell ref="AE33:AG33"/>
    <mergeCell ref="AC30:AC35"/>
    <mergeCell ref="J33:L33"/>
    <mergeCell ref="C30:E30"/>
    <mergeCell ref="F30:G30"/>
    <mergeCell ref="Q30:S30"/>
    <mergeCell ref="X32:Z32"/>
    <mergeCell ref="AH30:AI30"/>
    <mergeCell ref="C31:E31"/>
    <mergeCell ref="J31:L31"/>
    <mergeCell ref="Q31:S31"/>
    <mergeCell ref="X31:Z31"/>
    <mergeCell ref="A23:A29"/>
    <mergeCell ref="H23:H29"/>
    <mergeCell ref="V23:V29"/>
    <mergeCell ref="AC23:AC29"/>
    <mergeCell ref="X34:Z34"/>
    <mergeCell ref="AE30:AG30"/>
    <mergeCell ref="C32:E32"/>
    <mergeCell ref="J32:L32"/>
    <mergeCell ref="AE32:AG32"/>
    <mergeCell ref="C33:E33"/>
    <mergeCell ref="AC19:AC22"/>
    <mergeCell ref="J30:L30"/>
    <mergeCell ref="M30:N30"/>
    <mergeCell ref="H30:H35"/>
    <mergeCell ref="X30:Z30"/>
    <mergeCell ref="A19:A22"/>
    <mergeCell ref="H19:H22"/>
    <mergeCell ref="V19:V22"/>
    <mergeCell ref="T30:U30"/>
    <mergeCell ref="J34:L34"/>
    <mergeCell ref="A12:A18"/>
    <mergeCell ref="V12:V18"/>
    <mergeCell ref="AC12:AC18"/>
    <mergeCell ref="A5:A11"/>
    <mergeCell ref="V5:V11"/>
    <mergeCell ref="H14:H18"/>
    <mergeCell ref="H5:H13"/>
    <mergeCell ref="W2:Z2"/>
    <mergeCell ref="AC2:AC4"/>
    <mergeCell ref="AD2:AG2"/>
    <mergeCell ref="AD4:AE4"/>
    <mergeCell ref="AF4:AG4"/>
    <mergeCell ref="AC5:AC11"/>
    <mergeCell ref="I4:J4"/>
    <mergeCell ref="K4:L4"/>
    <mergeCell ref="AE1:AG1"/>
    <mergeCell ref="A2:A4"/>
    <mergeCell ref="B2:E2"/>
    <mergeCell ref="H2:H4"/>
    <mergeCell ref="I2:L2"/>
    <mergeCell ref="O2:O4"/>
    <mergeCell ref="P2:S2"/>
    <mergeCell ref="V2:V4"/>
    <mergeCell ref="B4:C4"/>
    <mergeCell ref="D4:E4"/>
    <mergeCell ref="A1:K1"/>
    <mergeCell ref="M1:X1"/>
    <mergeCell ref="Y1:AA1"/>
    <mergeCell ref="AB1:AC1"/>
    <mergeCell ref="W4:X4"/>
    <mergeCell ref="Y4:Z4"/>
    <mergeCell ref="P4:Q4"/>
    <mergeCell ref="R4:S4"/>
  </mergeCells>
  <printOptions horizontalCentered="1"/>
  <pageMargins left="0.2362204724409449" right="0.15748031496062992" top="0.15748031496062992" bottom="0.1968503937007874" header="0.5118110236220472" footer="0.5118110236220472"/>
  <pageSetup horizontalDpi="600" verticalDpi="600" orientation="landscape" paperSize="8" scale="12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="60" zoomScaleNormal="50" zoomScalePageLayoutView="0" workbookViewId="0" topLeftCell="A1">
      <selection activeCell="C2" sqref="C2"/>
    </sheetView>
  </sheetViews>
  <sheetFormatPr defaultColWidth="9.00390625" defaultRowHeight="16.5"/>
  <cols>
    <col min="1" max="1" width="12.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875" style="1" customWidth="1"/>
    <col min="14" max="14" width="11.0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84</v>
      </c>
      <c r="B2" s="3" t="s">
        <v>85</v>
      </c>
      <c r="C2" s="4">
        <v>111</v>
      </c>
      <c r="D2" s="5" t="s">
        <v>86</v>
      </c>
      <c r="E2" s="4">
        <f>'2一'!E2</f>
        <v>11</v>
      </c>
      <c r="F2" s="5" t="s">
        <v>87</v>
      </c>
      <c r="G2" s="4">
        <f>'2一'!G2+1</f>
        <v>8</v>
      </c>
      <c r="H2" s="5" t="s">
        <v>88</v>
      </c>
      <c r="I2" s="5" t="s">
        <v>89</v>
      </c>
      <c r="J2" s="5" t="s">
        <v>90</v>
      </c>
      <c r="K2" s="6" t="s">
        <v>91</v>
      </c>
      <c r="L2" s="592" t="s">
        <v>92</v>
      </c>
      <c r="M2" s="593"/>
      <c r="N2" s="594"/>
      <c r="O2" s="7"/>
      <c r="P2" s="8"/>
    </row>
    <row r="3" spans="1:15" s="9" customFormat="1" ht="24" customHeight="1" thickBot="1">
      <c r="A3" s="10" t="s">
        <v>93</v>
      </c>
      <c r="B3" s="632" t="s">
        <v>94</v>
      </c>
      <c r="C3" s="596"/>
      <c r="D3" s="596"/>
      <c r="E3" s="633">
        <f>'2一'!E3:F3</f>
        <v>1450</v>
      </c>
      <c r="F3" s="633"/>
      <c r="G3" s="11" t="s">
        <v>95</v>
      </c>
      <c r="H3" s="12"/>
      <c r="I3" s="12"/>
      <c r="J3" s="12"/>
      <c r="K3" s="13"/>
      <c r="L3" s="14" t="s">
        <v>96</v>
      </c>
      <c r="M3" s="15" t="s">
        <v>97</v>
      </c>
      <c r="N3" s="16"/>
      <c r="O3" s="17"/>
    </row>
    <row r="4" spans="1:15" s="9" customFormat="1" ht="24" customHeight="1">
      <c r="A4" s="18" t="str">
        <f>'11月'!$B$10</f>
        <v>糙米飯</v>
      </c>
      <c r="B4" s="634" t="s">
        <v>98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99</v>
      </c>
      <c r="M4" s="15" t="s">
        <v>100</v>
      </c>
      <c r="N4" s="16"/>
      <c r="O4" s="17"/>
    </row>
    <row r="5" spans="1:15" s="9" customFormat="1" ht="24" customHeight="1">
      <c r="A5" s="77" t="str">
        <f>'11月'!$B$11</f>
        <v>麻油肉片</v>
      </c>
      <c r="B5" s="629" t="s">
        <v>101</v>
      </c>
      <c r="C5" s="627"/>
      <c r="D5" s="637" t="s">
        <v>102</v>
      </c>
      <c r="E5" s="638"/>
      <c r="F5" s="638"/>
      <c r="G5" s="629" t="s">
        <v>103</v>
      </c>
      <c r="H5" s="627"/>
      <c r="I5" s="627"/>
      <c r="J5" s="629" t="s">
        <v>104</v>
      </c>
      <c r="K5" s="628"/>
      <c r="L5" s="14" t="s">
        <v>105</v>
      </c>
      <c r="M5" s="15" t="s">
        <v>106</v>
      </c>
      <c r="N5" s="16"/>
      <c r="O5" s="17"/>
    </row>
    <row r="6" spans="1:15" s="9" customFormat="1" ht="24" customHeight="1">
      <c r="A6" s="77" t="str">
        <f>'11月'!$B$12</f>
        <v>黃豆芽雞絲</v>
      </c>
      <c r="B6" s="627">
        <f>'第二周'!J30</f>
        <v>4.1</v>
      </c>
      <c r="C6" s="627"/>
      <c r="D6" s="627">
        <f>'第二周'!J31</f>
        <v>2.1</v>
      </c>
      <c r="E6" s="627"/>
      <c r="F6" s="627"/>
      <c r="G6" s="627">
        <f>'第二周'!J32</f>
        <v>1.5</v>
      </c>
      <c r="H6" s="627"/>
      <c r="I6" s="627"/>
      <c r="J6" s="627">
        <f>'第二周'!J33</f>
        <v>2.5</v>
      </c>
      <c r="K6" s="628"/>
      <c r="L6" s="14" t="s">
        <v>107</v>
      </c>
      <c r="M6" s="15" t="s">
        <v>108</v>
      </c>
      <c r="N6" s="16"/>
      <c r="O6" s="17"/>
    </row>
    <row r="7" spans="1:15" s="9" customFormat="1" ht="24" customHeight="1">
      <c r="A7" s="77" t="str">
        <f>'11月'!$B$13</f>
        <v>有機青菜</v>
      </c>
      <c r="B7" s="629" t="s">
        <v>109</v>
      </c>
      <c r="C7" s="627"/>
      <c r="D7" s="629" t="s">
        <v>110</v>
      </c>
      <c r="E7" s="627"/>
      <c r="F7" s="627"/>
      <c r="G7" s="629" t="s">
        <v>111</v>
      </c>
      <c r="H7" s="627"/>
      <c r="I7" s="627"/>
      <c r="J7" s="630" t="s">
        <v>49</v>
      </c>
      <c r="K7" s="631"/>
      <c r="L7" s="14" t="s">
        <v>112</v>
      </c>
      <c r="M7" s="20" t="s">
        <v>113</v>
      </c>
      <c r="N7" s="21"/>
      <c r="O7" s="17"/>
    </row>
    <row r="8" spans="1:15" s="9" customFormat="1" ht="24" customHeight="1">
      <c r="A8" s="77" t="str">
        <f>'11月'!$B$14</f>
        <v>蘿蔔湯</v>
      </c>
      <c r="B8" s="627">
        <f>'第二周'!J34</f>
        <v>1</v>
      </c>
      <c r="C8" s="627"/>
      <c r="D8" s="627"/>
      <c r="E8" s="627"/>
      <c r="F8" s="627"/>
      <c r="G8" s="627"/>
      <c r="H8" s="627"/>
      <c r="I8" s="627"/>
      <c r="J8" s="627">
        <f>'第二周'!J35</f>
        <v>654.5</v>
      </c>
      <c r="K8" s="628"/>
      <c r="L8" s="577"/>
      <c r="M8" s="578"/>
      <c r="N8" s="579"/>
      <c r="O8" s="17"/>
    </row>
    <row r="9" spans="1:15" s="9" customFormat="1" ht="24" customHeight="1" thickBot="1">
      <c r="A9" s="69" t="s">
        <v>356</v>
      </c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39" t="s">
        <v>114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1"/>
      <c r="L10" s="592" t="s">
        <v>115</v>
      </c>
      <c r="M10" s="593"/>
      <c r="N10" s="594"/>
      <c r="O10" s="17"/>
    </row>
    <row r="11" spans="1:15" s="9" customFormat="1" ht="24" customHeight="1">
      <c r="A11" s="24" t="s">
        <v>116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117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118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119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120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121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122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123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124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125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126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127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84</v>
      </c>
      <c r="B38" s="3" t="s">
        <v>85</v>
      </c>
      <c r="C38" s="4">
        <f>C2</f>
        <v>111</v>
      </c>
      <c r="D38" s="5" t="s">
        <v>86</v>
      </c>
      <c r="E38" s="4">
        <f>E2</f>
        <v>11</v>
      </c>
      <c r="F38" s="5" t="s">
        <v>87</v>
      </c>
      <c r="G38" s="4">
        <f>G2</f>
        <v>8</v>
      </c>
      <c r="H38" s="5" t="s">
        <v>88</v>
      </c>
      <c r="I38" s="5" t="s">
        <v>89</v>
      </c>
      <c r="J38" s="5" t="str">
        <f>J2</f>
        <v>二</v>
      </c>
      <c r="K38" s="585" t="str">
        <f>'2一'!K38:L38</f>
        <v> 廠商：定緁</v>
      </c>
      <c r="L38" s="585"/>
      <c r="M38" s="586" t="s">
        <v>129</v>
      </c>
      <c r="N38" s="587"/>
    </row>
    <row r="39" spans="1:14" s="9" customFormat="1" ht="28.5" customHeight="1">
      <c r="A39" s="558" t="s">
        <v>130</v>
      </c>
      <c r="B39" s="569" t="s">
        <v>197</v>
      </c>
      <c r="C39" s="569"/>
      <c r="D39" s="569" t="s">
        <v>131</v>
      </c>
      <c r="E39" s="569"/>
      <c r="F39" s="569"/>
      <c r="G39" s="569" t="s">
        <v>132</v>
      </c>
      <c r="H39" s="569"/>
      <c r="I39" s="569"/>
      <c r="J39" s="568" t="s">
        <v>133</v>
      </c>
      <c r="K39" s="568"/>
      <c r="L39" s="568" t="s">
        <v>134</v>
      </c>
      <c r="M39" s="572" t="s">
        <v>216</v>
      </c>
      <c r="N39" s="575" t="s">
        <v>135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136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28.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34.5" customHeight="1">
      <c r="A43" s="221" t="s">
        <v>334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222" t="s">
        <v>331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85" t="s">
        <v>312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9" s="9" customFormat="1" ht="28.5" customHeight="1">
      <c r="A46" s="85" t="s">
        <v>313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  <c r="S46" s="186" t="s">
        <v>341</v>
      </c>
    </row>
    <row r="47" spans="1:14" s="9" customFormat="1" ht="28.5" customHeight="1">
      <c r="A47" s="170" t="s">
        <v>326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336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170" t="s">
        <v>198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170" t="s">
        <v>327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170" t="s">
        <v>298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223" t="s">
        <v>329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8.5" customHeight="1">
      <c r="A53" s="173" t="s">
        <v>330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85" t="s">
        <v>297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85" t="s">
        <v>299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85" t="s">
        <v>298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85" t="s">
        <v>292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85" t="s">
        <v>198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69" t="s">
        <v>301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224" t="s">
        <v>356</v>
      </c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67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>
      <c r="A62" s="558" t="s">
        <v>80</v>
      </c>
      <c r="B62" s="561" t="s">
        <v>137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</row>
    <row r="63" spans="1:14" ht="28.5" customHeight="1">
      <c r="A63" s="559"/>
      <c r="B63" s="563" t="s">
        <v>138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8.5" customHeight="1" thickBot="1">
      <c r="A64" s="560"/>
      <c r="B64" s="565" t="s">
        <v>139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</row>
    <row r="65" spans="1:15" s="9" customFormat="1" ht="24" customHeight="1">
      <c r="A65" s="62" t="s">
        <v>128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2" right="0.16" top="0.26" bottom="0.23" header="0.5" footer="0.5"/>
  <pageSetup horizontalDpi="600" verticalDpi="600" orientation="portrait" paperSize="9" scale="98" r:id="rId1"/>
  <rowBreaks count="1" manualBreakCount="1">
    <brk id="3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1">
      <selection activeCell="E2" sqref="E2"/>
    </sheetView>
  </sheetViews>
  <sheetFormatPr defaultColWidth="9.00390625" defaultRowHeight="16.5"/>
  <cols>
    <col min="1" max="1" width="14.125" style="186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875" style="1" customWidth="1"/>
    <col min="10" max="10" width="3.125" style="1" customWidth="1"/>
    <col min="11" max="11" width="9.00390625" style="1" customWidth="1"/>
    <col min="12" max="12" width="11.50390625" style="1" customWidth="1"/>
    <col min="13" max="13" width="12.50390625" style="1" customWidth="1"/>
    <col min="14" max="14" width="11.1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236</v>
      </c>
      <c r="B2" s="3" t="s">
        <v>85</v>
      </c>
      <c r="C2" s="4">
        <v>111</v>
      </c>
      <c r="D2" s="5" t="s">
        <v>86</v>
      </c>
      <c r="E2" s="4">
        <f>'2二'!E2</f>
        <v>11</v>
      </c>
      <c r="F2" s="5" t="s">
        <v>87</v>
      </c>
      <c r="G2" s="4">
        <f>'2二'!G2+1</f>
        <v>9</v>
      </c>
      <c r="H2" s="5" t="s">
        <v>88</v>
      </c>
      <c r="I2" s="5" t="s">
        <v>89</v>
      </c>
      <c r="J2" s="5" t="s">
        <v>140</v>
      </c>
      <c r="K2" s="6" t="s">
        <v>141</v>
      </c>
      <c r="L2" s="592" t="s">
        <v>92</v>
      </c>
      <c r="M2" s="593"/>
      <c r="N2" s="594"/>
      <c r="O2" s="7"/>
      <c r="P2" s="8"/>
    </row>
    <row r="3" spans="1:15" s="9" customFormat="1" ht="24" customHeight="1" thickBot="1">
      <c r="A3" s="10" t="s">
        <v>237</v>
      </c>
      <c r="B3" s="632" t="s">
        <v>94</v>
      </c>
      <c r="C3" s="596"/>
      <c r="D3" s="596"/>
      <c r="E3" s="633">
        <f>'2二'!E3:F3</f>
        <v>1450</v>
      </c>
      <c r="F3" s="633"/>
      <c r="G3" s="11" t="s">
        <v>95</v>
      </c>
      <c r="H3" s="12"/>
      <c r="I3" s="12"/>
      <c r="J3" s="12"/>
      <c r="K3" s="13"/>
      <c r="L3" s="14" t="s">
        <v>96</v>
      </c>
      <c r="M3" s="15" t="s">
        <v>97</v>
      </c>
      <c r="N3" s="16"/>
      <c r="O3" s="17"/>
    </row>
    <row r="4" spans="1:15" s="9" customFormat="1" ht="24" customHeight="1">
      <c r="A4" s="82" t="str">
        <f>'11月'!$C$10</f>
        <v>韓式拌飯</v>
      </c>
      <c r="B4" s="634" t="s">
        <v>98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99</v>
      </c>
      <c r="M4" s="15" t="s">
        <v>100</v>
      </c>
      <c r="N4" s="16"/>
      <c r="O4" s="17"/>
    </row>
    <row r="5" spans="1:15" s="9" customFormat="1" ht="24" customHeight="1">
      <c r="A5" s="19" t="str">
        <f>'11月'!$C$11</f>
        <v>滷雞翅(加菜)</v>
      </c>
      <c r="B5" s="629" t="s">
        <v>101</v>
      </c>
      <c r="C5" s="627"/>
      <c r="D5" s="637" t="s">
        <v>102</v>
      </c>
      <c r="E5" s="638"/>
      <c r="F5" s="638"/>
      <c r="G5" s="629" t="s">
        <v>103</v>
      </c>
      <c r="H5" s="627"/>
      <c r="I5" s="627"/>
      <c r="J5" s="629" t="s">
        <v>104</v>
      </c>
      <c r="K5" s="628"/>
      <c r="L5" s="14" t="s">
        <v>105</v>
      </c>
      <c r="M5" s="15" t="s">
        <v>106</v>
      </c>
      <c r="N5" s="16"/>
      <c r="O5" s="17"/>
    </row>
    <row r="6" spans="1:15" s="9" customFormat="1" ht="24" customHeight="1">
      <c r="A6" s="19" t="str">
        <f>'11月'!$C$12</f>
        <v>鮮炒青菜</v>
      </c>
      <c r="B6" s="627">
        <f>'第二周'!Q30</f>
        <v>4</v>
      </c>
      <c r="C6" s="627"/>
      <c r="D6" s="627">
        <f>'第二周'!Q31</f>
        <v>2.9</v>
      </c>
      <c r="E6" s="627"/>
      <c r="F6" s="627"/>
      <c r="G6" s="627">
        <f>'第二周'!Q32</f>
        <v>1.4</v>
      </c>
      <c r="H6" s="627"/>
      <c r="I6" s="627"/>
      <c r="J6" s="627">
        <f>'1二日誌'!J6:K6</f>
        <v>2.5</v>
      </c>
      <c r="K6" s="628"/>
      <c r="L6" s="14" t="s">
        <v>107</v>
      </c>
      <c r="M6" s="15" t="s">
        <v>108</v>
      </c>
      <c r="N6" s="16"/>
      <c r="O6" s="17"/>
    </row>
    <row r="7" spans="1:15" s="9" customFormat="1" ht="24" customHeight="1">
      <c r="A7" s="19" t="s">
        <v>342</v>
      </c>
      <c r="B7" s="629" t="s">
        <v>109</v>
      </c>
      <c r="C7" s="627"/>
      <c r="D7" s="629" t="s">
        <v>110</v>
      </c>
      <c r="E7" s="627"/>
      <c r="F7" s="627"/>
      <c r="G7" s="629" t="s">
        <v>111</v>
      </c>
      <c r="H7" s="627"/>
      <c r="I7" s="627"/>
      <c r="J7" s="630" t="s">
        <v>49</v>
      </c>
      <c r="K7" s="631"/>
      <c r="L7" s="14" t="s">
        <v>112</v>
      </c>
      <c r="M7" s="20" t="s">
        <v>113</v>
      </c>
      <c r="N7" s="21"/>
      <c r="O7" s="17"/>
    </row>
    <row r="8" spans="1:15" s="9" customFormat="1" ht="24" customHeight="1">
      <c r="A8" s="83"/>
      <c r="B8" s="627">
        <f>'第二周'!Q34</f>
        <v>0.5</v>
      </c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675</v>
      </c>
      <c r="K8" s="628"/>
      <c r="L8" s="577"/>
      <c r="M8" s="578"/>
      <c r="N8" s="579"/>
      <c r="O8" s="17"/>
    </row>
    <row r="9" spans="1:15" s="9" customFormat="1" ht="24" customHeight="1" thickBot="1">
      <c r="A9" s="69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114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115</v>
      </c>
      <c r="M10" s="593"/>
      <c r="N10" s="594"/>
      <c r="O10" s="17"/>
    </row>
    <row r="11" spans="1:15" s="9" customFormat="1" ht="24" customHeight="1">
      <c r="A11" s="179" t="s">
        <v>238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180" t="s">
        <v>239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180" t="s">
        <v>240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119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180" t="s">
        <v>241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180" t="s">
        <v>242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181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181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181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182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182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182"/>
      <c r="B23" s="41"/>
      <c r="C23" s="41"/>
      <c r="D23" s="41"/>
      <c r="E23" s="41"/>
      <c r="F23" s="43"/>
      <c r="G23" s="43"/>
      <c r="H23" s="43" t="s">
        <v>142</v>
      </c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183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183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182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182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182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182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122</v>
      </c>
      <c r="M29" s="596"/>
      <c r="N29" s="597"/>
      <c r="O29" s="37"/>
    </row>
    <row r="30" spans="1:15" s="9" customFormat="1" ht="24" customHeight="1">
      <c r="A30" s="182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123</v>
      </c>
      <c r="M30" s="578"/>
      <c r="N30" s="579"/>
      <c r="O30" s="37"/>
    </row>
    <row r="31" spans="1:15" s="9" customFormat="1" ht="24" customHeight="1">
      <c r="A31" s="182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124</v>
      </c>
      <c r="M31" s="578"/>
      <c r="N31" s="579"/>
      <c r="O31" s="37"/>
    </row>
    <row r="32" spans="1:15" s="9" customFormat="1" ht="24" customHeight="1">
      <c r="A32" s="182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125</v>
      </c>
      <c r="M32" s="578"/>
      <c r="N32" s="579"/>
      <c r="O32" s="37"/>
    </row>
    <row r="33" spans="1:15" s="9" customFormat="1" ht="24" customHeight="1">
      <c r="A33" s="183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126</v>
      </c>
      <c r="M33" s="578"/>
      <c r="N33" s="579"/>
      <c r="O33" s="31"/>
    </row>
    <row r="34" spans="1:15" s="9" customFormat="1" ht="24" customHeight="1" thickBot="1">
      <c r="A34" s="184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127</v>
      </c>
      <c r="M34" s="581"/>
      <c r="N34" s="582"/>
      <c r="O34" s="61"/>
    </row>
    <row r="35" s="9" customFormat="1" ht="16.5" customHeight="1" hidden="1">
      <c r="A35" s="185"/>
    </row>
    <row r="36" spans="1:15" s="9" customFormat="1" ht="24" customHeight="1">
      <c r="A36" s="62" t="s">
        <v>69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236</v>
      </c>
      <c r="B38" s="3" t="s">
        <v>85</v>
      </c>
      <c r="C38" s="4">
        <f>C2</f>
        <v>111</v>
      </c>
      <c r="D38" s="5" t="s">
        <v>86</v>
      </c>
      <c r="E38" s="4">
        <f>E2</f>
        <v>11</v>
      </c>
      <c r="F38" s="5" t="s">
        <v>87</v>
      </c>
      <c r="G38" s="4">
        <f>G2</f>
        <v>9</v>
      </c>
      <c r="H38" s="5" t="s">
        <v>88</v>
      </c>
      <c r="I38" s="5" t="s">
        <v>89</v>
      </c>
      <c r="J38" s="5" t="str">
        <f>J2</f>
        <v>三</v>
      </c>
      <c r="K38" s="585" t="str">
        <f>'2二'!K38:L38</f>
        <v> 廠商：定緁</v>
      </c>
      <c r="L38" s="585"/>
      <c r="M38" s="586" t="s">
        <v>129</v>
      </c>
      <c r="N38" s="587"/>
    </row>
    <row r="39" spans="1:14" s="9" customFormat="1" ht="28.5" customHeight="1">
      <c r="A39" s="558" t="s">
        <v>130</v>
      </c>
      <c r="B39" s="569" t="s">
        <v>197</v>
      </c>
      <c r="C39" s="569"/>
      <c r="D39" s="569" t="s">
        <v>131</v>
      </c>
      <c r="E39" s="569"/>
      <c r="F39" s="569"/>
      <c r="G39" s="569" t="s">
        <v>132</v>
      </c>
      <c r="H39" s="569"/>
      <c r="I39" s="569"/>
      <c r="J39" s="568" t="s">
        <v>133</v>
      </c>
      <c r="K39" s="568"/>
      <c r="L39" s="568" t="s">
        <v>134</v>
      </c>
      <c r="M39" s="572" t="s">
        <v>216</v>
      </c>
      <c r="N39" s="575" t="s">
        <v>135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136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28.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28.5" customHeight="1">
      <c r="A43" s="84" t="s">
        <v>394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84" t="s">
        <v>395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84" t="s">
        <v>261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8.5" customHeight="1">
      <c r="A46" s="84" t="s">
        <v>204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8.5" customHeight="1">
      <c r="A47" s="84" t="s">
        <v>396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84" t="s">
        <v>397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85" t="s">
        <v>398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85" t="s">
        <v>254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85" t="s">
        <v>221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225" t="s">
        <v>405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7.75" customHeight="1">
      <c r="A53" s="225" t="s">
        <v>404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169" t="s">
        <v>316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170" t="s">
        <v>324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170" t="s">
        <v>304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170" t="s">
        <v>317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85" t="s">
        <v>323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85" t="s">
        <v>409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219" t="s">
        <v>339</v>
      </c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205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>
      <c r="A62" s="558" t="s">
        <v>80</v>
      </c>
      <c r="B62" s="561" t="s">
        <v>137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</row>
    <row r="63" spans="1:14" ht="28.5" customHeight="1">
      <c r="A63" s="644"/>
      <c r="B63" s="563" t="s">
        <v>138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8.5" customHeight="1" thickBot="1">
      <c r="A64" s="645"/>
      <c r="B64" s="565" t="s">
        <v>139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</row>
    <row r="65" spans="1:15" s="9" customFormat="1" ht="24" customHeight="1">
      <c r="A65" s="62" t="s">
        <v>69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24" right="0.22" top="0.19" bottom="0.26" header="0.29" footer="0.26"/>
  <pageSetup horizontalDpi="600" verticalDpi="600" orientation="portrait" paperSize="9" scale="99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38">
      <selection activeCell="G49" sqref="G49:I49"/>
    </sheetView>
  </sheetViews>
  <sheetFormatPr defaultColWidth="9.00390625" defaultRowHeight="16.5"/>
  <cols>
    <col min="1" max="1" width="13.50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00390625" style="1" customWidth="1"/>
    <col min="14" max="14" width="11.0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143</v>
      </c>
      <c r="B2" s="3" t="s">
        <v>144</v>
      </c>
      <c r="C2" s="4">
        <f>'2三'!C2</f>
        <v>111</v>
      </c>
      <c r="D2" s="5" t="s">
        <v>145</v>
      </c>
      <c r="E2" s="4">
        <f>'2三'!E2</f>
        <v>11</v>
      </c>
      <c r="F2" s="5" t="s">
        <v>24</v>
      </c>
      <c r="G2" s="4">
        <f>'2三'!G2+1</f>
        <v>10</v>
      </c>
      <c r="H2" s="5" t="s">
        <v>25</v>
      </c>
      <c r="I2" s="5" t="s">
        <v>26</v>
      </c>
      <c r="J2" s="5" t="s">
        <v>146</v>
      </c>
      <c r="K2" s="6" t="s">
        <v>147</v>
      </c>
      <c r="L2" s="592" t="s">
        <v>29</v>
      </c>
      <c r="M2" s="593"/>
      <c r="N2" s="594"/>
      <c r="O2" s="7"/>
      <c r="P2" s="8"/>
    </row>
    <row r="3" spans="1:15" s="9" customFormat="1" ht="24" customHeight="1" thickBot="1">
      <c r="A3" s="10" t="s">
        <v>30</v>
      </c>
      <c r="B3" s="632" t="s">
        <v>31</v>
      </c>
      <c r="C3" s="596"/>
      <c r="D3" s="596"/>
      <c r="E3" s="633">
        <f>'2三'!E3:F3</f>
        <v>1450</v>
      </c>
      <c r="F3" s="633"/>
      <c r="G3" s="11" t="s">
        <v>32</v>
      </c>
      <c r="H3" s="12"/>
      <c r="I3" s="12"/>
      <c r="J3" s="12"/>
      <c r="K3" s="13"/>
      <c r="L3" s="14" t="s">
        <v>33</v>
      </c>
      <c r="M3" s="15" t="s">
        <v>34</v>
      </c>
      <c r="N3" s="16"/>
      <c r="O3" s="17"/>
    </row>
    <row r="4" spans="1:15" s="9" customFormat="1" ht="24" customHeight="1">
      <c r="A4" s="80" t="str">
        <f>'11月'!$D$10</f>
        <v>玉米飯</v>
      </c>
      <c r="B4" s="634" t="s">
        <v>35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36</v>
      </c>
      <c r="M4" s="15" t="s">
        <v>37</v>
      </c>
      <c r="N4" s="16"/>
      <c r="O4" s="17"/>
    </row>
    <row r="5" spans="1:15" s="9" customFormat="1" ht="24" customHeight="1">
      <c r="A5" s="81" t="str">
        <f>'11月'!$D$11</f>
        <v>◎蔥爆魷魚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14" t="s">
        <v>42</v>
      </c>
      <c r="M5" s="15" t="s">
        <v>43</v>
      </c>
      <c r="N5" s="16"/>
      <c r="O5" s="17"/>
    </row>
    <row r="6" spans="1:15" s="9" customFormat="1" ht="24" customHeight="1">
      <c r="A6" s="81" t="str">
        <f>'11月'!$D$12</f>
        <v>黃瓜肉絲</v>
      </c>
      <c r="B6" s="627">
        <f>'第二周'!X30</f>
        <v>5.1</v>
      </c>
      <c r="C6" s="627"/>
      <c r="D6" s="627">
        <f>'第二周'!X31</f>
        <v>2.3</v>
      </c>
      <c r="E6" s="627"/>
      <c r="F6" s="627"/>
      <c r="G6" s="627">
        <f>'第二周'!X32</f>
        <v>1.5</v>
      </c>
      <c r="H6" s="627"/>
      <c r="I6" s="627"/>
      <c r="J6" s="627">
        <f>'第二周'!X33</f>
        <v>2.5</v>
      </c>
      <c r="K6" s="628"/>
      <c r="L6" s="14" t="s">
        <v>44</v>
      </c>
      <c r="M6" s="15" t="s">
        <v>45</v>
      </c>
      <c r="N6" s="16"/>
      <c r="O6" s="17"/>
    </row>
    <row r="7" spans="1:15" s="9" customFormat="1" ht="24" customHeight="1">
      <c r="A7" s="81" t="str">
        <f>'11月'!$D$13</f>
        <v>有機青菜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49</v>
      </c>
      <c r="K7" s="631"/>
      <c r="L7" s="14" t="s">
        <v>50</v>
      </c>
      <c r="M7" s="20" t="s">
        <v>51</v>
      </c>
      <c r="N7" s="21"/>
      <c r="O7" s="17"/>
    </row>
    <row r="8" spans="1:15" s="9" customFormat="1" ht="24" customHeight="1">
      <c r="A8" s="81" t="str">
        <f>'11月'!$D$14</f>
        <v>紅豆紫米湯</v>
      </c>
      <c r="B8" s="627">
        <f>'第二周'!X34</f>
        <v>0</v>
      </c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679.5</v>
      </c>
      <c r="K8" s="628"/>
      <c r="L8" s="577"/>
      <c r="M8" s="578"/>
      <c r="N8" s="579"/>
      <c r="O8" s="17"/>
    </row>
    <row r="9" spans="1:15" s="9" customFormat="1" ht="24" customHeight="1" thickBot="1">
      <c r="A9" s="70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148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149</v>
      </c>
      <c r="M10" s="593"/>
      <c r="N10" s="594"/>
      <c r="O10" s="17"/>
    </row>
    <row r="11" spans="1:15" s="9" customFormat="1" ht="24" customHeight="1">
      <c r="A11" s="24" t="s">
        <v>150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151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152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153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154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155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156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157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158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159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160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161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162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5" s="9" customFormat="1" ht="28.5" customHeight="1">
      <c r="A38" s="64" t="s">
        <v>163</v>
      </c>
      <c r="B38" s="3" t="s">
        <v>164</v>
      </c>
      <c r="C38" s="4">
        <f>C2</f>
        <v>111</v>
      </c>
      <c r="D38" s="5" t="s">
        <v>165</v>
      </c>
      <c r="E38" s="4">
        <f>E2</f>
        <v>11</v>
      </c>
      <c r="F38" s="5" t="s">
        <v>166</v>
      </c>
      <c r="G38" s="4">
        <f>G2</f>
        <v>10</v>
      </c>
      <c r="H38" s="5" t="s">
        <v>167</v>
      </c>
      <c r="I38" s="5" t="s">
        <v>168</v>
      </c>
      <c r="J38" s="5" t="str">
        <f>J2</f>
        <v>四</v>
      </c>
      <c r="K38" s="585" t="str">
        <f>'2三'!K38:L38</f>
        <v> 廠商：定緁</v>
      </c>
      <c r="L38" s="585"/>
      <c r="M38" s="586" t="s">
        <v>169</v>
      </c>
      <c r="N38" s="587"/>
      <c r="O38" s="37"/>
    </row>
    <row r="39" spans="1:15" s="9" customFormat="1" ht="28.5" customHeight="1">
      <c r="A39" s="558" t="s">
        <v>170</v>
      </c>
      <c r="B39" s="569" t="s">
        <v>197</v>
      </c>
      <c r="C39" s="569"/>
      <c r="D39" s="569" t="s">
        <v>171</v>
      </c>
      <c r="E39" s="569"/>
      <c r="F39" s="569"/>
      <c r="G39" s="569" t="s">
        <v>172</v>
      </c>
      <c r="H39" s="569"/>
      <c r="I39" s="569"/>
      <c r="J39" s="568" t="s">
        <v>173</v>
      </c>
      <c r="K39" s="568"/>
      <c r="L39" s="568" t="s">
        <v>174</v>
      </c>
      <c r="M39" s="572" t="s">
        <v>216</v>
      </c>
      <c r="N39" s="575" t="s">
        <v>175</v>
      </c>
      <c r="O39" s="37"/>
    </row>
    <row r="40" spans="1:15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  <c r="O40" s="37"/>
    </row>
    <row r="41" spans="1:15" s="9" customFormat="1" ht="28.5" customHeight="1">
      <c r="A41" s="558" t="s">
        <v>176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  <c r="O41" s="37"/>
    </row>
    <row r="42" spans="1:15" s="9" customFormat="1" ht="28.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  <c r="O42" s="37"/>
    </row>
    <row r="43" spans="1:15" s="9" customFormat="1" ht="28.5" customHeight="1">
      <c r="A43" s="263" t="s">
        <v>355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72"/>
      <c r="N43" s="66"/>
      <c r="O43" s="37"/>
    </row>
    <row r="44" spans="1:15" s="9" customFormat="1" ht="28.5" customHeight="1">
      <c r="A44" s="169" t="s">
        <v>309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  <c r="O44" s="37"/>
    </row>
    <row r="45" spans="1:15" s="9" customFormat="1" ht="28.5" customHeight="1">
      <c r="A45" s="169" t="s">
        <v>320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  <c r="O45" s="37"/>
    </row>
    <row r="46" spans="1:15" s="9" customFormat="1" ht="28.5" customHeight="1">
      <c r="A46" s="169" t="s">
        <v>335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  <c r="O46" s="37"/>
    </row>
    <row r="47" spans="1:15" s="9" customFormat="1" ht="28.5" customHeight="1">
      <c r="A47" s="169" t="s">
        <v>321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  <c r="O47" s="37"/>
    </row>
    <row r="48" spans="1:15" s="9" customFormat="1" ht="28.5" customHeight="1">
      <c r="A48" s="169" t="s">
        <v>254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  <c r="O48" s="37"/>
    </row>
    <row r="49" spans="1:15" ht="28.5" customHeight="1">
      <c r="A49" s="169" t="s">
        <v>322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  <c r="O49" s="17"/>
    </row>
    <row r="50" spans="1:15" s="9" customFormat="1" ht="28.5" customHeight="1">
      <c r="A50" s="85" t="s">
        <v>399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  <c r="O50" s="37"/>
    </row>
    <row r="51" spans="1:15" s="9" customFormat="1" ht="28.5" customHeight="1">
      <c r="A51" s="85" t="s">
        <v>400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  <c r="O51" s="37"/>
    </row>
    <row r="52" spans="1:15" s="9" customFormat="1" ht="28.5" customHeight="1">
      <c r="A52" s="170" t="s">
        <v>298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  <c r="O52" s="37"/>
    </row>
    <row r="53" spans="1:15" ht="28.5" customHeight="1">
      <c r="A53" s="84" t="s">
        <v>401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  <c r="O53" s="17"/>
    </row>
    <row r="54" spans="1:15" s="9" customFormat="1" ht="28.5" customHeight="1">
      <c r="A54" s="264" t="s">
        <v>402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  <c r="O54" s="37"/>
    </row>
    <row r="55" spans="1:15" s="9" customFormat="1" ht="28.5" customHeight="1">
      <c r="A55" s="223" t="s">
        <v>393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  <c r="O55" s="37"/>
    </row>
    <row r="56" spans="1:15" s="9" customFormat="1" ht="28.5" customHeight="1">
      <c r="A56" s="170" t="s">
        <v>330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  <c r="O56" s="37"/>
    </row>
    <row r="57" spans="1:15" s="9" customFormat="1" ht="28.5" customHeight="1">
      <c r="A57" s="85" t="s">
        <v>306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  <c r="O57" s="37"/>
    </row>
    <row r="58" spans="1:15" s="9" customFormat="1" ht="28.5" customHeight="1">
      <c r="A58" s="170"/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  <c r="O58" s="37"/>
    </row>
    <row r="59" spans="1:15" s="9" customFormat="1" ht="28.5" customHeight="1">
      <c r="A59" s="169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  <c r="O59" s="37"/>
    </row>
    <row r="60" spans="1:15" ht="28.5" customHeight="1">
      <c r="A60" s="170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  <c r="O60" s="17"/>
    </row>
    <row r="61" spans="1:15" ht="28.5" customHeight="1">
      <c r="A61" s="169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  <c r="O61" s="17"/>
    </row>
    <row r="62" spans="1:15" ht="28.5" customHeight="1">
      <c r="A62" s="558" t="s">
        <v>80</v>
      </c>
      <c r="B62" s="561" t="s">
        <v>177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  <c r="O62" s="17"/>
    </row>
    <row r="63" spans="1:15" ht="28.5" customHeight="1">
      <c r="A63" s="559"/>
      <c r="B63" s="563" t="s">
        <v>178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  <c r="O63" s="17"/>
    </row>
    <row r="64" spans="1:15" ht="28.5" customHeight="1" thickBot="1">
      <c r="A64" s="560"/>
      <c r="B64" s="565" t="s">
        <v>179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  <c r="O64" s="23"/>
    </row>
    <row r="65" spans="1:15" s="9" customFormat="1" ht="24" customHeight="1">
      <c r="A65" s="62" t="s">
        <v>162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17" right="0.16" top="0.26" bottom="0.24" header="0.28" footer="0.24"/>
  <pageSetup horizontalDpi="600" verticalDpi="600" orientation="portrait" paperSize="9" scale="98" r:id="rId3"/>
  <rowBreaks count="1" manualBreakCount="1">
    <brk id="36" max="1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1">
      <selection activeCell="D45" sqref="D45:F45"/>
    </sheetView>
  </sheetViews>
  <sheetFormatPr defaultColWidth="9.00390625" defaultRowHeight="16.5"/>
  <cols>
    <col min="1" max="1" width="14.75390625" style="1" customWidth="1"/>
    <col min="2" max="2" width="5.875" style="1" customWidth="1"/>
    <col min="3" max="3" width="6.00390625" style="1" customWidth="1"/>
    <col min="4" max="4" width="4.00390625" style="1" customWidth="1"/>
    <col min="5" max="5" width="4.25390625" style="1" customWidth="1"/>
    <col min="6" max="6" width="3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25390625" style="1" customWidth="1"/>
    <col min="14" max="14" width="11.5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143</v>
      </c>
      <c r="B2" s="3" t="s">
        <v>144</v>
      </c>
      <c r="C2" s="4">
        <f>'2四'!C2</f>
        <v>111</v>
      </c>
      <c r="D2" s="5" t="s">
        <v>145</v>
      </c>
      <c r="E2" s="4">
        <f>'2四'!E2</f>
        <v>11</v>
      </c>
      <c r="F2" s="5" t="s">
        <v>180</v>
      </c>
      <c r="G2" s="4">
        <f>'2四'!G2+1</f>
        <v>11</v>
      </c>
      <c r="H2" s="5" t="s">
        <v>181</v>
      </c>
      <c r="I2" s="5" t="s">
        <v>182</v>
      </c>
      <c r="J2" s="5" t="s">
        <v>183</v>
      </c>
      <c r="K2" s="6" t="s">
        <v>184</v>
      </c>
      <c r="L2" s="592" t="s">
        <v>185</v>
      </c>
      <c r="M2" s="593"/>
      <c r="N2" s="594"/>
      <c r="O2" s="7"/>
      <c r="P2" s="8"/>
    </row>
    <row r="3" spans="1:15" s="9" customFormat="1" ht="24" customHeight="1" thickBot="1">
      <c r="A3" s="10" t="s">
        <v>186</v>
      </c>
      <c r="B3" s="632" t="s">
        <v>187</v>
      </c>
      <c r="C3" s="596"/>
      <c r="D3" s="596"/>
      <c r="E3" s="633">
        <f>'2四'!E3:F3</f>
        <v>1450</v>
      </c>
      <c r="F3" s="633"/>
      <c r="G3" s="11" t="s">
        <v>188</v>
      </c>
      <c r="H3" s="12"/>
      <c r="I3" s="12"/>
      <c r="J3" s="12"/>
      <c r="K3" s="13"/>
      <c r="L3" s="14" t="s">
        <v>189</v>
      </c>
      <c r="M3" s="15" t="s">
        <v>190</v>
      </c>
      <c r="N3" s="16"/>
      <c r="O3" s="17"/>
    </row>
    <row r="4" spans="1:15" s="9" customFormat="1" ht="24" customHeight="1">
      <c r="A4" s="78" t="str">
        <f>'11月'!$E$10</f>
        <v>糙米飯</v>
      </c>
      <c r="B4" s="634" t="s">
        <v>191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192</v>
      </c>
      <c r="M4" s="15" t="s">
        <v>193</v>
      </c>
      <c r="N4" s="16"/>
      <c r="O4" s="17"/>
    </row>
    <row r="5" spans="1:15" s="9" customFormat="1" ht="24" customHeight="1">
      <c r="A5" s="79" t="str">
        <f>'11月'!$E$11</f>
        <v>糖醋油豆腐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14" t="s">
        <v>42</v>
      </c>
      <c r="M5" s="15" t="s">
        <v>43</v>
      </c>
      <c r="N5" s="16"/>
      <c r="O5" s="17"/>
    </row>
    <row r="6" spans="1:15" s="9" customFormat="1" ht="24" customHeight="1">
      <c r="A6" s="79" t="str">
        <f>'11月'!$E$12</f>
        <v>毛豆炒蛋</v>
      </c>
      <c r="B6" s="627">
        <f>'第二周'!AE30</f>
        <v>4.2</v>
      </c>
      <c r="C6" s="627"/>
      <c r="D6" s="627">
        <f>'第二周'!AE31</f>
        <v>2.3</v>
      </c>
      <c r="E6" s="627"/>
      <c r="F6" s="627"/>
      <c r="G6" s="627">
        <f>'第二周'!AE32</f>
        <v>1.1</v>
      </c>
      <c r="H6" s="627"/>
      <c r="I6" s="627"/>
      <c r="J6" s="627">
        <f>'第二周'!AE33</f>
        <v>2.5</v>
      </c>
      <c r="K6" s="628"/>
      <c r="L6" s="14" t="s">
        <v>44</v>
      </c>
      <c r="M6" s="15" t="s">
        <v>45</v>
      </c>
      <c r="N6" s="16"/>
      <c r="O6" s="17"/>
    </row>
    <row r="7" spans="1:15" s="9" customFormat="1" ht="24" customHeight="1">
      <c r="A7" s="79" t="str">
        <f>'11月'!$E$13</f>
        <v>有機青菜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49</v>
      </c>
      <c r="K7" s="631"/>
      <c r="L7" s="14" t="s">
        <v>50</v>
      </c>
      <c r="M7" s="20" t="s">
        <v>51</v>
      </c>
      <c r="N7" s="21"/>
      <c r="O7" s="17"/>
    </row>
    <row r="8" spans="1:15" s="9" customFormat="1" ht="24" customHeight="1">
      <c r="A8" s="79" t="str">
        <f>'11月'!$E$14</f>
        <v>肉骨茶湯</v>
      </c>
      <c r="B8" s="627">
        <f>'第二周'!AE34</f>
        <v>0</v>
      </c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606.5</v>
      </c>
      <c r="K8" s="628"/>
      <c r="L8" s="577"/>
      <c r="M8" s="578"/>
      <c r="N8" s="579"/>
      <c r="O8" s="17"/>
    </row>
    <row r="9" spans="1:15" s="9" customFormat="1" ht="24" customHeight="1" thickBot="1">
      <c r="A9" s="70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148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149</v>
      </c>
      <c r="M10" s="593"/>
      <c r="N10" s="594"/>
      <c r="O10" s="17"/>
    </row>
    <row r="11" spans="1:15" s="9" customFormat="1" ht="24" customHeight="1">
      <c r="A11" s="24" t="s">
        <v>150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151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152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153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154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155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156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157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158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159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160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161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162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163</v>
      </c>
      <c r="B38" s="3" t="s">
        <v>164</v>
      </c>
      <c r="C38" s="4">
        <f>C2</f>
        <v>111</v>
      </c>
      <c r="D38" s="5" t="s">
        <v>165</v>
      </c>
      <c r="E38" s="4">
        <f>E2</f>
        <v>11</v>
      </c>
      <c r="F38" s="5" t="s">
        <v>166</v>
      </c>
      <c r="G38" s="4">
        <f>G2</f>
        <v>11</v>
      </c>
      <c r="H38" s="5" t="s">
        <v>167</v>
      </c>
      <c r="I38" s="5" t="s">
        <v>168</v>
      </c>
      <c r="J38" s="5" t="str">
        <f>J2</f>
        <v>五</v>
      </c>
      <c r="K38" s="585" t="str">
        <f>'2四'!K38:L38</f>
        <v> 廠商：定緁</v>
      </c>
      <c r="L38" s="585"/>
      <c r="M38" s="586" t="s">
        <v>169</v>
      </c>
      <c r="N38" s="587"/>
    </row>
    <row r="39" spans="1:14" s="9" customFormat="1" ht="28.5" customHeight="1">
      <c r="A39" s="558" t="s">
        <v>170</v>
      </c>
      <c r="B39" s="569" t="s">
        <v>197</v>
      </c>
      <c r="C39" s="569"/>
      <c r="D39" s="569" t="s">
        <v>171</v>
      </c>
      <c r="E39" s="569"/>
      <c r="F39" s="569"/>
      <c r="G39" s="569" t="s">
        <v>172</v>
      </c>
      <c r="H39" s="569"/>
      <c r="I39" s="569"/>
      <c r="J39" s="568" t="s">
        <v>173</v>
      </c>
      <c r="K39" s="568"/>
      <c r="L39" s="568" t="s">
        <v>174</v>
      </c>
      <c r="M39" s="572" t="s">
        <v>216</v>
      </c>
      <c r="N39" s="575" t="s">
        <v>175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176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36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28.5" customHeight="1">
      <c r="A43" s="265" t="s">
        <v>259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170" t="s">
        <v>334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170" t="s">
        <v>298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8.5" customHeight="1">
      <c r="A46" s="170" t="s">
        <v>287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8.5" customHeight="1">
      <c r="A47" s="169" t="s">
        <v>256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204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169" t="s">
        <v>406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169" t="s">
        <v>255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169" t="s">
        <v>204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223" t="s">
        <v>328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8.5" customHeight="1">
      <c r="A53" s="173" t="s">
        <v>330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169" t="s">
        <v>318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169" t="s">
        <v>337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169" t="s">
        <v>319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169" t="s">
        <v>407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219" t="s">
        <v>408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87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187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73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 thickBot="1">
      <c r="A62" s="74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75"/>
      <c r="M62" s="75"/>
      <c r="N62" s="76"/>
    </row>
    <row r="63" spans="1:14" ht="15.75" customHeight="1">
      <c r="A63" s="644" t="s">
        <v>80</v>
      </c>
      <c r="B63" s="563" t="s">
        <v>177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1" customHeight="1">
      <c r="A64" s="559"/>
      <c r="B64" s="563" t="s">
        <v>178</v>
      </c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4"/>
    </row>
    <row r="65" spans="1:14" ht="21" customHeight="1" thickBot="1">
      <c r="A65" s="560"/>
      <c r="B65" s="565" t="s">
        <v>179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6"/>
    </row>
    <row r="66" spans="1:15" s="9" customFormat="1" ht="24" customHeight="1">
      <c r="A66" s="62" t="s">
        <v>162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/>
  <mergeCells count="145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B58:C58"/>
    <mergeCell ref="D58:F58"/>
    <mergeCell ref="G58:I58"/>
    <mergeCell ref="J58:K58"/>
    <mergeCell ref="B59:C59"/>
    <mergeCell ref="D59:F59"/>
    <mergeCell ref="G59:I59"/>
    <mergeCell ref="J59:K59"/>
    <mergeCell ref="B60:C60"/>
    <mergeCell ref="D60:F60"/>
    <mergeCell ref="G60:I60"/>
    <mergeCell ref="J60:K60"/>
    <mergeCell ref="B61:C61"/>
    <mergeCell ref="D61:F61"/>
    <mergeCell ref="G61:I61"/>
    <mergeCell ref="J61:K61"/>
    <mergeCell ref="B62:C62"/>
    <mergeCell ref="D62:F62"/>
    <mergeCell ref="G62:I62"/>
    <mergeCell ref="J62:K62"/>
    <mergeCell ref="A63:A65"/>
    <mergeCell ref="B63:N63"/>
    <mergeCell ref="B64:N64"/>
    <mergeCell ref="B65:N65"/>
  </mergeCells>
  <printOptions/>
  <pageMargins left="0.22" right="0.23" top="0.2" bottom="0.3" header="0.29" footer="0.19"/>
  <pageSetup horizontalDpi="600" verticalDpi="600" orientation="portrait" paperSize="9" scale="9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="75" zoomScaleNormal="75" zoomScaleSheetLayoutView="75" zoomScalePageLayoutView="0" workbookViewId="0" topLeftCell="A1">
      <selection activeCell="T22" sqref="T22"/>
    </sheetView>
  </sheetViews>
  <sheetFormatPr defaultColWidth="6.125" defaultRowHeight="22.5" customHeight="1"/>
  <cols>
    <col min="1" max="1" width="4.625" style="121" customWidth="1"/>
    <col min="2" max="2" width="17.125" style="119" customWidth="1"/>
    <col min="3" max="3" width="5.625" style="120" hidden="1" customWidth="1"/>
    <col min="4" max="4" width="5.625" style="120" customWidth="1"/>
    <col min="5" max="5" width="4.125" style="120" customWidth="1"/>
    <col min="6" max="6" width="5.625" style="122" hidden="1" customWidth="1"/>
    <col min="7" max="7" width="7.625" style="123" hidden="1" customWidth="1"/>
    <col min="8" max="8" width="4.625" style="121" customWidth="1"/>
    <col min="9" max="9" width="17.125" style="119" customWidth="1"/>
    <col min="10" max="10" width="5.625" style="120" hidden="1" customWidth="1"/>
    <col min="11" max="11" width="6.00390625" style="120" customWidth="1"/>
    <col min="12" max="12" width="4.125" style="120" customWidth="1"/>
    <col min="13" max="13" width="5.625" style="122" hidden="1" customWidth="1"/>
    <col min="14" max="14" width="6.25390625" style="123" hidden="1" customWidth="1"/>
    <col min="15" max="15" width="4.625" style="121" customWidth="1"/>
    <col min="16" max="16" width="17.125" style="119" customWidth="1"/>
    <col min="17" max="17" width="5.625" style="120" hidden="1" customWidth="1"/>
    <col min="18" max="18" width="6.00390625" style="120" customWidth="1"/>
    <col min="19" max="19" width="4.125" style="120" customWidth="1"/>
    <col min="20" max="20" width="5.625" style="122" customWidth="1"/>
    <col min="21" max="21" width="9.00390625" style="123" customWidth="1"/>
    <col min="22" max="22" width="4.625" style="124" customWidth="1"/>
    <col min="23" max="23" width="17.125" style="119" customWidth="1"/>
    <col min="24" max="24" width="5.625" style="120" hidden="1" customWidth="1"/>
    <col min="25" max="25" width="6.00390625" style="120" customWidth="1"/>
    <col min="26" max="26" width="4.125" style="120" customWidth="1"/>
    <col min="27" max="27" width="5.625" style="122" hidden="1" customWidth="1"/>
    <col min="28" max="28" width="6.625" style="123" hidden="1" customWidth="1"/>
    <col min="29" max="29" width="4.625" style="121" customWidth="1"/>
    <col min="30" max="30" width="17.125" style="119" customWidth="1"/>
    <col min="31" max="31" width="5.625" style="120" hidden="1" customWidth="1"/>
    <col min="32" max="32" width="6.00390625" style="120" customWidth="1"/>
    <col min="33" max="33" width="4.125" style="120" customWidth="1"/>
    <col min="34" max="34" width="5.625" style="125" hidden="1" customWidth="1"/>
    <col min="35" max="35" width="5.625" style="123" hidden="1" customWidth="1"/>
    <col min="36" max="36" width="8.625" style="126" customWidth="1"/>
    <col min="37" max="37" width="6.125" style="126" customWidth="1"/>
    <col min="38" max="16384" width="6.125" style="126" customWidth="1"/>
  </cols>
  <sheetData>
    <row r="1" spans="1:36" s="248" customFormat="1" ht="18.75" customHeight="1">
      <c r="A1" s="442" t="str">
        <f>'第一周'!A1</f>
        <v>僑愛國民小學112學年度第一學期第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93">
        <f>'第一周'!L1+1</f>
        <v>11</v>
      </c>
      <c r="M1" s="443" t="s">
        <v>362</v>
      </c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4" t="s">
        <v>201</v>
      </c>
      <c r="Z1" s="445"/>
      <c r="AA1" s="445"/>
      <c r="AB1" s="447">
        <f>AJ28</f>
        <v>221073.80000000002</v>
      </c>
      <c r="AC1" s="447"/>
      <c r="AD1" s="94" t="s">
        <v>0</v>
      </c>
      <c r="AE1" s="451">
        <v>1450</v>
      </c>
      <c r="AF1" s="451"/>
      <c r="AG1" s="451"/>
      <c r="AH1" s="245"/>
      <c r="AI1" s="246"/>
      <c r="AJ1" s="247"/>
    </row>
    <row r="2" spans="1:35" s="98" customFormat="1" ht="18.75" customHeight="1">
      <c r="A2" s="538" t="s">
        <v>1</v>
      </c>
      <c r="B2" s="536">
        <v>45236</v>
      </c>
      <c r="C2" s="536"/>
      <c r="D2" s="536"/>
      <c r="E2" s="536"/>
      <c r="F2" s="195"/>
      <c r="G2" s="196"/>
      <c r="H2" s="525" t="s">
        <v>1</v>
      </c>
      <c r="I2" s="541">
        <f>B2+1</f>
        <v>45237</v>
      </c>
      <c r="J2" s="541"/>
      <c r="K2" s="541"/>
      <c r="L2" s="541"/>
      <c r="M2" s="197"/>
      <c r="N2" s="198"/>
      <c r="O2" s="525" t="s">
        <v>1</v>
      </c>
      <c r="P2" s="537">
        <f>I2+1</f>
        <v>45238</v>
      </c>
      <c r="Q2" s="537"/>
      <c r="R2" s="537"/>
      <c r="S2" s="537"/>
      <c r="T2" s="199"/>
      <c r="U2" s="200"/>
      <c r="V2" s="525" t="s">
        <v>1</v>
      </c>
      <c r="W2" s="524">
        <f>P2+1</f>
        <v>45239</v>
      </c>
      <c r="X2" s="524"/>
      <c r="Y2" s="524"/>
      <c r="Z2" s="524"/>
      <c r="AA2" s="201"/>
      <c r="AB2" s="202"/>
      <c r="AC2" s="525" t="s">
        <v>1</v>
      </c>
      <c r="AD2" s="520">
        <f>W2+1</f>
        <v>45240</v>
      </c>
      <c r="AE2" s="520"/>
      <c r="AF2" s="520"/>
      <c r="AG2" s="521"/>
      <c r="AH2" s="193"/>
      <c r="AI2" s="97"/>
    </row>
    <row r="3" spans="1:35" s="98" customFormat="1" ht="18.75" customHeight="1" hidden="1">
      <c r="A3" s="539"/>
      <c r="B3" s="236" t="s">
        <v>2</v>
      </c>
      <c r="C3" s="237" t="s">
        <v>209</v>
      </c>
      <c r="D3" s="238" t="s">
        <v>3</v>
      </c>
      <c r="E3" s="238" t="s">
        <v>4</v>
      </c>
      <c r="F3" s="88" t="s">
        <v>5</v>
      </c>
      <c r="G3" s="86" t="s">
        <v>6</v>
      </c>
      <c r="H3" s="456"/>
      <c r="I3" s="236" t="s">
        <v>2</v>
      </c>
      <c r="J3" s="237" t="s">
        <v>209</v>
      </c>
      <c r="K3" s="238" t="s">
        <v>3</v>
      </c>
      <c r="L3" s="238" t="s">
        <v>4</v>
      </c>
      <c r="M3" s="88" t="s">
        <v>5</v>
      </c>
      <c r="N3" s="86" t="s">
        <v>6</v>
      </c>
      <c r="O3" s="456"/>
      <c r="P3" s="236" t="s">
        <v>2</v>
      </c>
      <c r="Q3" s="237" t="s">
        <v>209</v>
      </c>
      <c r="R3" s="238" t="s">
        <v>3</v>
      </c>
      <c r="S3" s="238" t="s">
        <v>4</v>
      </c>
      <c r="T3" s="88" t="s">
        <v>5</v>
      </c>
      <c r="U3" s="86" t="s">
        <v>6</v>
      </c>
      <c r="V3" s="456"/>
      <c r="W3" s="236" t="s">
        <v>2</v>
      </c>
      <c r="X3" s="237" t="s">
        <v>209</v>
      </c>
      <c r="Y3" s="238" t="s">
        <v>3</v>
      </c>
      <c r="Z3" s="238" t="s">
        <v>4</v>
      </c>
      <c r="AA3" s="88" t="s">
        <v>5</v>
      </c>
      <c r="AB3" s="86" t="s">
        <v>6</v>
      </c>
      <c r="AC3" s="456"/>
      <c r="AD3" s="236" t="s">
        <v>2</v>
      </c>
      <c r="AE3" s="237" t="s">
        <v>209</v>
      </c>
      <c r="AF3" s="238" t="s">
        <v>3</v>
      </c>
      <c r="AG3" s="239" t="s">
        <v>4</v>
      </c>
      <c r="AH3" s="194" t="s">
        <v>5</v>
      </c>
      <c r="AI3" s="86" t="s">
        <v>6</v>
      </c>
    </row>
    <row r="4" spans="1:44" s="101" customFormat="1" ht="18.75" customHeight="1">
      <c r="A4" s="540"/>
      <c r="B4" s="448" t="str">
        <f>'11月'!A10</f>
        <v>小米飯</v>
      </c>
      <c r="C4" s="449"/>
      <c r="D4" s="449">
        <f>AE1</f>
        <v>1450</v>
      </c>
      <c r="E4" s="450"/>
      <c r="F4" s="99"/>
      <c r="G4" s="100"/>
      <c r="H4" s="457"/>
      <c r="I4" s="448" t="str">
        <f>'11月'!B10</f>
        <v>糙米飯</v>
      </c>
      <c r="J4" s="449"/>
      <c r="K4" s="449">
        <f>AE1</f>
        <v>1450</v>
      </c>
      <c r="L4" s="450"/>
      <c r="M4" s="142"/>
      <c r="N4" s="100"/>
      <c r="O4" s="457"/>
      <c r="P4" s="448" t="s">
        <v>7</v>
      </c>
      <c r="Q4" s="449"/>
      <c r="R4" s="449">
        <f>AE1</f>
        <v>1450</v>
      </c>
      <c r="S4" s="450"/>
      <c r="T4" s="261"/>
      <c r="U4" s="87"/>
      <c r="V4" s="457"/>
      <c r="W4" s="522" t="str">
        <f>'11月'!D10</f>
        <v>玉米飯</v>
      </c>
      <c r="X4" s="523"/>
      <c r="Y4" s="449">
        <f>AE1</f>
        <v>1450</v>
      </c>
      <c r="Z4" s="450"/>
      <c r="AA4" s="142"/>
      <c r="AB4" s="100"/>
      <c r="AC4" s="457"/>
      <c r="AD4" s="448" t="str">
        <f>'11月'!E10</f>
        <v>糙米飯</v>
      </c>
      <c r="AE4" s="449"/>
      <c r="AF4" s="449">
        <f>AE1-42</f>
        <v>1408</v>
      </c>
      <c r="AG4" s="450"/>
      <c r="AH4" s="142"/>
      <c r="AI4" s="100"/>
      <c r="AR4" s="150"/>
    </row>
    <row r="5" spans="1:35" s="150" customFormat="1" ht="18.75" customHeight="1">
      <c r="A5" s="462" t="str">
        <f>'11月'!A11</f>
        <v>三杯雞</v>
      </c>
      <c r="B5" s="240" t="s">
        <v>252</v>
      </c>
      <c r="C5" s="240">
        <v>25</v>
      </c>
      <c r="D5" s="260">
        <f>ROUND($D$4*C5/1000,0)</f>
        <v>36</v>
      </c>
      <c r="E5" s="242" t="s">
        <v>8</v>
      </c>
      <c r="F5" s="161">
        <v>180</v>
      </c>
      <c r="G5" s="162">
        <f aca="true" t="shared" si="0" ref="G5:G15">D5*F5</f>
        <v>6480</v>
      </c>
      <c r="H5" s="463" t="str">
        <f>'11月'!B11</f>
        <v>麻油肉片</v>
      </c>
      <c r="I5" s="349" t="s">
        <v>496</v>
      </c>
      <c r="J5" s="354">
        <v>49.5</v>
      </c>
      <c r="K5" s="241">
        <f>ROUND($K$4*J5/1000,0)</f>
        <v>72</v>
      </c>
      <c r="L5" s="244" t="s">
        <v>8</v>
      </c>
      <c r="M5" s="161">
        <v>230</v>
      </c>
      <c r="N5" s="162">
        <f>K5*M5</f>
        <v>16560</v>
      </c>
      <c r="O5" s="462" t="str">
        <f>'11月'!C10</f>
        <v>韓式拌飯</v>
      </c>
      <c r="P5" s="350" t="s">
        <v>474</v>
      </c>
      <c r="Q5" s="353">
        <v>75</v>
      </c>
      <c r="R5" s="367" t="s">
        <v>195</v>
      </c>
      <c r="S5" s="357" t="s">
        <v>8</v>
      </c>
      <c r="T5" s="161"/>
      <c r="U5" s="162"/>
      <c r="V5" s="463" t="str">
        <f>'11月'!D11</f>
        <v>◎蔥爆魷魚</v>
      </c>
      <c r="W5" s="262" t="s">
        <v>355</v>
      </c>
      <c r="X5" s="240">
        <v>48.5</v>
      </c>
      <c r="Y5" s="241">
        <f>ROUND($Y$4*X5/1000,0)</f>
        <v>70</v>
      </c>
      <c r="Z5" s="244" t="s">
        <v>8</v>
      </c>
      <c r="AA5" s="161">
        <v>260</v>
      </c>
      <c r="AB5" s="162">
        <f aca="true" t="shared" si="1" ref="AB5:AB25">Y5*AA5</f>
        <v>18200</v>
      </c>
      <c r="AC5" s="462" t="str">
        <f>'11月'!E11</f>
        <v>糖醋油豆腐</v>
      </c>
      <c r="AD5" s="240" t="s">
        <v>259</v>
      </c>
      <c r="AE5" s="240">
        <v>41.5</v>
      </c>
      <c r="AF5" s="241">
        <f>ROUND($AF$4*AE5/1000,0)</f>
        <v>58</v>
      </c>
      <c r="AG5" s="244" t="s">
        <v>8</v>
      </c>
      <c r="AH5" s="161">
        <v>110</v>
      </c>
      <c r="AI5" s="162">
        <f aca="true" t="shared" si="2" ref="AI5:AI27">AF5*AH5</f>
        <v>6380</v>
      </c>
    </row>
    <row r="6" spans="1:35" s="150" customFormat="1" ht="18.75" customHeight="1">
      <c r="A6" s="462"/>
      <c r="B6" s="216" t="s">
        <v>288</v>
      </c>
      <c r="C6" s="147">
        <v>62</v>
      </c>
      <c r="D6" s="260">
        <f aca="true" t="shared" si="3" ref="D6:D25">ROUND($D$4*C6/1000,0)</f>
        <v>90</v>
      </c>
      <c r="E6" s="149" t="s">
        <v>8</v>
      </c>
      <c r="F6" s="161">
        <v>190</v>
      </c>
      <c r="G6" s="162">
        <f t="shared" si="0"/>
        <v>17100</v>
      </c>
      <c r="H6" s="464"/>
      <c r="I6" s="350" t="s">
        <v>303</v>
      </c>
      <c r="J6" s="355">
        <v>20.5</v>
      </c>
      <c r="K6" s="241">
        <f>ROUND($K$4*J6/1000,0)</f>
        <v>30</v>
      </c>
      <c r="L6" s="244" t="s">
        <v>8</v>
      </c>
      <c r="M6" s="161">
        <v>139</v>
      </c>
      <c r="N6" s="162">
        <f>K6*M6</f>
        <v>4170</v>
      </c>
      <c r="O6" s="462"/>
      <c r="P6" s="368" t="s">
        <v>475</v>
      </c>
      <c r="Q6" s="353"/>
      <c r="R6" s="353"/>
      <c r="S6" s="357" t="s">
        <v>8</v>
      </c>
      <c r="T6" s="161"/>
      <c r="U6" s="162"/>
      <c r="V6" s="464"/>
      <c r="W6" s="147" t="s">
        <v>309</v>
      </c>
      <c r="X6" s="147">
        <v>37</v>
      </c>
      <c r="Y6" s="241">
        <f aca="true" t="shared" si="4" ref="Y6:Y19">ROUND($Y$4*X6/1000,0)</f>
        <v>54</v>
      </c>
      <c r="Z6" s="160" t="s">
        <v>8</v>
      </c>
      <c r="AA6" s="161">
        <v>90</v>
      </c>
      <c r="AB6" s="162">
        <f t="shared" si="1"/>
        <v>4860</v>
      </c>
      <c r="AC6" s="462"/>
      <c r="AD6" s="148" t="s">
        <v>334</v>
      </c>
      <c r="AE6" s="148">
        <v>4</v>
      </c>
      <c r="AF6" s="241">
        <f>ROUND($AF$4*AE6/1000,0)</f>
        <v>6</v>
      </c>
      <c r="AG6" s="160" t="s">
        <v>8</v>
      </c>
      <c r="AH6" s="161">
        <v>75</v>
      </c>
      <c r="AI6" s="162">
        <f t="shared" si="2"/>
        <v>450</v>
      </c>
    </row>
    <row r="7" spans="1:35" s="150" customFormat="1" ht="18.75" customHeight="1">
      <c r="A7" s="462"/>
      <c r="B7" s="147" t="s">
        <v>307</v>
      </c>
      <c r="C7" s="147">
        <v>1.5</v>
      </c>
      <c r="D7" s="260">
        <f t="shared" si="3"/>
        <v>2</v>
      </c>
      <c r="E7" s="149" t="s">
        <v>8</v>
      </c>
      <c r="F7" s="161">
        <v>145</v>
      </c>
      <c r="G7" s="162">
        <f t="shared" si="0"/>
        <v>290</v>
      </c>
      <c r="H7" s="464"/>
      <c r="I7" s="350" t="s">
        <v>466</v>
      </c>
      <c r="J7" s="355">
        <v>0.3</v>
      </c>
      <c r="K7" s="241">
        <f>ROUND($K$4*J7/1000,1)</f>
        <v>0.4</v>
      </c>
      <c r="L7" s="244" t="s">
        <v>8</v>
      </c>
      <c r="M7" s="161">
        <v>110</v>
      </c>
      <c r="N7" s="162">
        <f>K7*M7</f>
        <v>44</v>
      </c>
      <c r="O7" s="462"/>
      <c r="P7" s="350" t="s">
        <v>312</v>
      </c>
      <c r="Q7" s="353">
        <v>35</v>
      </c>
      <c r="R7" s="353">
        <f>ROUND($AE$1*Q7/1000,0)</f>
        <v>51</v>
      </c>
      <c r="S7" s="357" t="s">
        <v>8</v>
      </c>
      <c r="T7" s="161">
        <v>230</v>
      </c>
      <c r="U7" s="162">
        <f aca="true" t="shared" si="5" ref="U7:U26">R7*T7</f>
        <v>11730</v>
      </c>
      <c r="V7" s="464"/>
      <c r="W7" s="147" t="s">
        <v>320</v>
      </c>
      <c r="X7" s="147">
        <v>11</v>
      </c>
      <c r="Y7" s="241">
        <f t="shared" si="4"/>
        <v>16</v>
      </c>
      <c r="Z7" s="160" t="s">
        <v>8</v>
      </c>
      <c r="AA7" s="161">
        <v>57</v>
      </c>
      <c r="AB7" s="162">
        <f t="shared" si="1"/>
        <v>912</v>
      </c>
      <c r="AC7" s="462"/>
      <c r="AD7" s="148" t="s">
        <v>298</v>
      </c>
      <c r="AE7" s="148">
        <v>9</v>
      </c>
      <c r="AF7" s="241">
        <f>ROUND($AF$4*AE7/1000,0)</f>
        <v>13</v>
      </c>
      <c r="AG7" s="160" t="s">
        <v>8</v>
      </c>
      <c r="AH7" s="161">
        <v>135</v>
      </c>
      <c r="AI7" s="162">
        <f t="shared" si="2"/>
        <v>1755</v>
      </c>
    </row>
    <row r="8" spans="1:35" s="150" customFormat="1" ht="18.75" customHeight="1">
      <c r="A8" s="462"/>
      <c r="B8" s="147" t="s">
        <v>333</v>
      </c>
      <c r="C8" s="147">
        <v>1</v>
      </c>
      <c r="D8" s="260">
        <f t="shared" si="3"/>
        <v>1</v>
      </c>
      <c r="E8" s="149" t="s">
        <v>217</v>
      </c>
      <c r="F8" s="161"/>
      <c r="G8" s="162">
        <f t="shared" si="0"/>
        <v>0</v>
      </c>
      <c r="H8" s="464"/>
      <c r="I8" s="147" t="s">
        <v>333</v>
      </c>
      <c r="J8" s="355">
        <v>3</v>
      </c>
      <c r="K8" s="241" t="s">
        <v>195</v>
      </c>
      <c r="L8" s="244" t="s">
        <v>8</v>
      </c>
      <c r="M8" s="161"/>
      <c r="N8" s="162"/>
      <c r="O8" s="462"/>
      <c r="P8" s="350" t="s">
        <v>204</v>
      </c>
      <c r="Q8" s="353">
        <v>10</v>
      </c>
      <c r="R8" s="353">
        <f>ROUND($AE$1*Q8/1000,0)</f>
        <v>15</v>
      </c>
      <c r="S8" s="357" t="s">
        <v>8</v>
      </c>
      <c r="T8" s="161">
        <v>57</v>
      </c>
      <c r="U8" s="162">
        <f t="shared" si="5"/>
        <v>855</v>
      </c>
      <c r="V8" s="464"/>
      <c r="W8" s="147" t="s">
        <v>335</v>
      </c>
      <c r="X8" s="147">
        <v>5</v>
      </c>
      <c r="Y8" s="241">
        <f t="shared" si="4"/>
        <v>7</v>
      </c>
      <c r="Z8" s="160" t="s">
        <v>8</v>
      </c>
      <c r="AA8" s="161">
        <v>75</v>
      </c>
      <c r="AB8" s="162">
        <f t="shared" si="1"/>
        <v>525</v>
      </c>
      <c r="AC8" s="462"/>
      <c r="AD8" s="148" t="s">
        <v>287</v>
      </c>
      <c r="AE8" s="148">
        <v>3</v>
      </c>
      <c r="AF8" s="241">
        <f>ROUND($AF$4*AE8/3000,0)</f>
        <v>1</v>
      </c>
      <c r="AG8" s="160" t="s">
        <v>217</v>
      </c>
      <c r="AH8" s="161">
        <v>275</v>
      </c>
      <c r="AI8" s="162">
        <f t="shared" si="2"/>
        <v>275</v>
      </c>
    </row>
    <row r="9" spans="1:35" s="150" customFormat="1" ht="18.75" customHeight="1">
      <c r="A9" s="462"/>
      <c r="B9" s="147" t="s">
        <v>221</v>
      </c>
      <c r="C9" s="147">
        <v>0.2</v>
      </c>
      <c r="D9" s="260">
        <f>ROUND($D$4*C9/1000,1)</f>
        <v>0.3</v>
      </c>
      <c r="E9" s="149" t="s">
        <v>8</v>
      </c>
      <c r="F9" s="161">
        <v>560</v>
      </c>
      <c r="G9" s="162">
        <f t="shared" si="0"/>
        <v>168</v>
      </c>
      <c r="H9" s="464"/>
      <c r="I9" s="356" t="s">
        <v>464</v>
      </c>
      <c r="J9" s="355">
        <v>10</v>
      </c>
      <c r="K9" s="241">
        <f>ROUND($K$4*J9/1000,0)</f>
        <v>15</v>
      </c>
      <c r="L9" s="244" t="s">
        <v>8</v>
      </c>
      <c r="M9" s="161">
        <v>181</v>
      </c>
      <c r="N9" s="162">
        <f aca="true" t="shared" si="6" ref="N9:N23">K9*M9</f>
        <v>2715</v>
      </c>
      <c r="O9" s="462"/>
      <c r="P9" s="148" t="s">
        <v>476</v>
      </c>
      <c r="Q9" s="353">
        <v>4.5</v>
      </c>
      <c r="R9" s="353">
        <f>ROUND($AE$1*Q9/6000,0)</f>
        <v>1</v>
      </c>
      <c r="S9" s="358" t="s">
        <v>477</v>
      </c>
      <c r="T9" s="161">
        <v>490</v>
      </c>
      <c r="U9" s="162">
        <f t="shared" si="5"/>
        <v>490</v>
      </c>
      <c r="V9" s="464"/>
      <c r="W9" s="147" t="s">
        <v>321</v>
      </c>
      <c r="X9" s="148">
        <v>0.2</v>
      </c>
      <c r="Y9" s="241">
        <f>ROUND($Y$4*X9/1000,1)</f>
        <v>0.3</v>
      </c>
      <c r="Z9" s="160" t="s">
        <v>8</v>
      </c>
      <c r="AA9" s="161">
        <v>110</v>
      </c>
      <c r="AB9" s="162">
        <f t="shared" si="1"/>
        <v>33</v>
      </c>
      <c r="AC9" s="462"/>
      <c r="AD9" s="147" t="s">
        <v>256</v>
      </c>
      <c r="AE9" s="147">
        <v>3</v>
      </c>
      <c r="AF9" s="241">
        <f>ROUND($AF$4*AE9/3000,0)</f>
        <v>1</v>
      </c>
      <c r="AG9" s="160" t="s">
        <v>217</v>
      </c>
      <c r="AH9" s="161">
        <v>260</v>
      </c>
      <c r="AI9" s="162">
        <f t="shared" si="2"/>
        <v>260</v>
      </c>
    </row>
    <row r="10" spans="1:35" s="150" customFormat="1" ht="18.75" customHeight="1">
      <c r="A10" s="462"/>
      <c r="B10" s="216" t="s">
        <v>385</v>
      </c>
      <c r="C10" s="147">
        <v>14</v>
      </c>
      <c r="D10" s="260">
        <f t="shared" si="3"/>
        <v>20</v>
      </c>
      <c r="E10" s="149" t="s">
        <v>8</v>
      </c>
      <c r="F10" s="161">
        <v>110</v>
      </c>
      <c r="G10" s="162">
        <f t="shared" si="0"/>
        <v>2200</v>
      </c>
      <c r="H10" s="465"/>
      <c r="I10" s="189"/>
      <c r="J10" s="189"/>
      <c r="K10" s="361"/>
      <c r="L10" s="362"/>
      <c r="M10" s="161"/>
      <c r="N10" s="162">
        <f t="shared" si="6"/>
        <v>0</v>
      </c>
      <c r="O10" s="462"/>
      <c r="P10" s="350" t="s">
        <v>478</v>
      </c>
      <c r="Q10" s="353">
        <v>1</v>
      </c>
      <c r="R10" s="353">
        <f>ROUND($AE$1*Q10/500,0)</f>
        <v>3</v>
      </c>
      <c r="S10" s="358" t="s">
        <v>477</v>
      </c>
      <c r="T10" s="161">
        <v>230</v>
      </c>
      <c r="U10" s="162">
        <f t="shared" si="5"/>
        <v>690</v>
      </c>
      <c r="V10" s="464"/>
      <c r="W10" s="147" t="s">
        <v>254</v>
      </c>
      <c r="X10" s="148">
        <v>0.2</v>
      </c>
      <c r="Y10" s="241">
        <f>ROUND($Y$4*X10/1000,1)</f>
        <v>0.3</v>
      </c>
      <c r="Z10" s="160" t="s">
        <v>8</v>
      </c>
      <c r="AA10" s="161">
        <v>213</v>
      </c>
      <c r="AB10" s="162">
        <f t="shared" si="1"/>
        <v>63.9</v>
      </c>
      <c r="AC10" s="462"/>
      <c r="AD10" s="147" t="s">
        <v>204</v>
      </c>
      <c r="AE10" s="147">
        <v>13.5</v>
      </c>
      <c r="AF10" s="241">
        <f>ROUND($AF$4*AE10/1000,0)</f>
        <v>19</v>
      </c>
      <c r="AG10" s="160" t="s">
        <v>8</v>
      </c>
      <c r="AH10" s="161">
        <v>57</v>
      </c>
      <c r="AI10" s="162">
        <f t="shared" si="2"/>
        <v>1083</v>
      </c>
    </row>
    <row r="11" spans="1:43" s="153" customFormat="1" ht="18.75" customHeight="1">
      <c r="A11" s="462"/>
      <c r="B11" s="147"/>
      <c r="C11" s="147"/>
      <c r="D11" s="260"/>
      <c r="E11" s="149"/>
      <c r="F11" s="161"/>
      <c r="G11" s="162"/>
      <c r="H11" s="463" t="str">
        <f>'11月'!B12</f>
        <v>黃豆芽雞絲</v>
      </c>
      <c r="I11" s="359" t="s">
        <v>482</v>
      </c>
      <c r="J11" s="341">
        <v>26</v>
      </c>
      <c r="K11" s="159">
        <f>ROUND($K$4*J11/1000,0)</f>
        <v>38</v>
      </c>
      <c r="L11" s="149" t="s">
        <v>8</v>
      </c>
      <c r="M11" s="360">
        <v>38</v>
      </c>
      <c r="N11" s="162">
        <f t="shared" si="6"/>
        <v>1444</v>
      </c>
      <c r="O11" s="462"/>
      <c r="P11" s="148"/>
      <c r="Q11" s="353"/>
      <c r="R11" s="353"/>
      <c r="S11" s="357"/>
      <c r="T11" s="161"/>
      <c r="U11" s="162">
        <f t="shared" si="5"/>
        <v>0</v>
      </c>
      <c r="V11" s="464"/>
      <c r="W11" s="147" t="s">
        <v>322</v>
      </c>
      <c r="X11" s="147">
        <v>1</v>
      </c>
      <c r="Y11" s="241">
        <f t="shared" si="4"/>
        <v>1</v>
      </c>
      <c r="Z11" s="160" t="s">
        <v>8</v>
      </c>
      <c r="AA11" s="161">
        <v>296</v>
      </c>
      <c r="AB11" s="162">
        <f t="shared" si="1"/>
        <v>296</v>
      </c>
      <c r="AC11" s="462"/>
      <c r="AD11" s="147"/>
      <c r="AE11" s="147"/>
      <c r="AF11" s="241"/>
      <c r="AG11" s="160"/>
      <c r="AH11" s="161"/>
      <c r="AI11" s="162">
        <f t="shared" si="2"/>
        <v>0</v>
      </c>
      <c r="AL11" s="150"/>
      <c r="AM11" s="150"/>
      <c r="AN11" s="150"/>
      <c r="AO11" s="150"/>
      <c r="AP11" s="150"/>
      <c r="AQ11" s="150"/>
    </row>
    <row r="12" spans="1:35" s="150" customFormat="1" ht="18.75" customHeight="1">
      <c r="A12" s="462" t="str">
        <f>'11月'!A12</f>
        <v>*  炒三絲</v>
      </c>
      <c r="B12" s="147" t="s">
        <v>308</v>
      </c>
      <c r="C12" s="148">
        <v>25</v>
      </c>
      <c r="D12" s="260">
        <f>ROUND($D$4*C12/1000,0)</f>
        <v>36</v>
      </c>
      <c r="E12" s="160" t="s">
        <v>8</v>
      </c>
      <c r="F12" s="161">
        <v>120</v>
      </c>
      <c r="G12" s="162">
        <f t="shared" si="0"/>
        <v>4320</v>
      </c>
      <c r="H12" s="464"/>
      <c r="I12" s="359" t="s">
        <v>483</v>
      </c>
      <c r="J12" s="341">
        <v>10</v>
      </c>
      <c r="K12" s="159">
        <f>ROUND($K$4*J12/1000,0)</f>
        <v>15</v>
      </c>
      <c r="L12" s="149" t="s">
        <v>8</v>
      </c>
      <c r="M12" s="360">
        <v>121</v>
      </c>
      <c r="N12" s="162">
        <f t="shared" si="6"/>
        <v>1815</v>
      </c>
      <c r="O12" s="462"/>
      <c r="P12" s="148" t="s">
        <v>326</v>
      </c>
      <c r="Q12" s="353">
        <v>15</v>
      </c>
      <c r="R12" s="353">
        <f>ROUND($AE$1*Q12/1000,0)</f>
        <v>22</v>
      </c>
      <c r="S12" s="357" t="s">
        <v>8</v>
      </c>
      <c r="T12" s="161">
        <v>38</v>
      </c>
      <c r="U12" s="162">
        <f t="shared" si="5"/>
        <v>836</v>
      </c>
      <c r="V12" s="465"/>
      <c r="W12" s="216"/>
      <c r="X12" s="147"/>
      <c r="Y12" s="241"/>
      <c r="Z12" s="160"/>
      <c r="AA12" s="161"/>
      <c r="AB12" s="162"/>
      <c r="AC12" s="462" t="str">
        <f>'11月'!E12</f>
        <v>毛豆炒蛋</v>
      </c>
      <c r="AD12" s="341" t="s">
        <v>255</v>
      </c>
      <c r="AE12" s="341">
        <v>62</v>
      </c>
      <c r="AF12" s="241">
        <f>ROUND($AF$4*AE12/1000,0)</f>
        <v>87</v>
      </c>
      <c r="AG12" s="160" t="s">
        <v>8</v>
      </c>
      <c r="AH12" s="161">
        <v>107</v>
      </c>
      <c r="AI12" s="162">
        <f t="shared" si="2"/>
        <v>9309</v>
      </c>
    </row>
    <row r="13" spans="1:43" s="150" customFormat="1" ht="18.75" customHeight="1">
      <c r="A13" s="462"/>
      <c r="B13" s="148" t="s">
        <v>309</v>
      </c>
      <c r="C13" s="148">
        <v>20.5</v>
      </c>
      <c r="D13" s="260">
        <f t="shared" si="3"/>
        <v>30</v>
      </c>
      <c r="E13" s="160" t="s">
        <v>8</v>
      </c>
      <c r="F13" s="161">
        <v>90</v>
      </c>
      <c r="G13" s="162">
        <f t="shared" si="0"/>
        <v>2700</v>
      </c>
      <c r="H13" s="464"/>
      <c r="I13" s="359" t="s">
        <v>484</v>
      </c>
      <c r="J13" s="341">
        <v>12</v>
      </c>
      <c r="K13" s="159">
        <f>ROUND($K$4*J13/1000,0)</f>
        <v>17</v>
      </c>
      <c r="L13" s="149" t="s">
        <v>8</v>
      </c>
      <c r="M13" s="360">
        <v>75</v>
      </c>
      <c r="N13" s="162">
        <f t="shared" si="6"/>
        <v>1275</v>
      </c>
      <c r="O13" s="462"/>
      <c r="P13" s="350" t="s">
        <v>401</v>
      </c>
      <c r="Q13" s="353">
        <v>9</v>
      </c>
      <c r="R13" s="353">
        <f>ROUND($AE$1*Q13/1000,0)</f>
        <v>13</v>
      </c>
      <c r="S13" s="357" t="s">
        <v>8</v>
      </c>
      <c r="T13" s="161">
        <v>75</v>
      </c>
      <c r="U13" s="162">
        <f t="shared" si="5"/>
        <v>975</v>
      </c>
      <c r="V13" s="463" t="str">
        <f>'11月'!D12</f>
        <v>黃瓜肉絲</v>
      </c>
      <c r="W13" s="189" t="s">
        <v>399</v>
      </c>
      <c r="X13" s="189">
        <v>58.5</v>
      </c>
      <c r="Y13" s="241">
        <f t="shared" si="4"/>
        <v>85</v>
      </c>
      <c r="Z13" s="160" t="s">
        <v>8</v>
      </c>
      <c r="AA13" s="161">
        <v>100</v>
      </c>
      <c r="AB13" s="162">
        <f t="shared" si="1"/>
        <v>8500</v>
      </c>
      <c r="AC13" s="462"/>
      <c r="AD13" s="341" t="s">
        <v>481</v>
      </c>
      <c r="AE13" s="341">
        <v>8</v>
      </c>
      <c r="AF13" s="241">
        <f>ROUND($AF$4*AE13/1000,0)</f>
        <v>11</v>
      </c>
      <c r="AG13" s="160" t="s">
        <v>8</v>
      </c>
      <c r="AH13" s="161">
        <v>160</v>
      </c>
      <c r="AI13" s="162">
        <f t="shared" si="2"/>
        <v>1760</v>
      </c>
      <c r="AL13" s="98"/>
      <c r="AM13" s="98"/>
      <c r="AN13" s="98"/>
      <c r="AO13" s="98"/>
      <c r="AP13" s="98"/>
      <c r="AQ13" s="98"/>
    </row>
    <row r="14" spans="1:43" s="150" customFormat="1" ht="18.75" customHeight="1">
      <c r="A14" s="462"/>
      <c r="B14" s="217" t="s">
        <v>334</v>
      </c>
      <c r="C14" s="148">
        <v>13.5</v>
      </c>
      <c r="D14" s="260">
        <f t="shared" si="3"/>
        <v>20</v>
      </c>
      <c r="E14" s="160" t="s">
        <v>8</v>
      </c>
      <c r="F14" s="161">
        <v>75</v>
      </c>
      <c r="G14" s="162">
        <f t="shared" si="0"/>
        <v>1500</v>
      </c>
      <c r="H14" s="464"/>
      <c r="I14" s="359" t="s">
        <v>485</v>
      </c>
      <c r="J14" s="341">
        <v>10</v>
      </c>
      <c r="K14" s="159">
        <f>ROUND($K$4*J14/1000,0)</f>
        <v>15</v>
      </c>
      <c r="L14" s="149" t="s">
        <v>8</v>
      </c>
      <c r="M14" s="360">
        <v>280</v>
      </c>
      <c r="N14" s="162">
        <f t="shared" si="6"/>
        <v>4200</v>
      </c>
      <c r="O14" s="462"/>
      <c r="P14" s="249" t="s">
        <v>480</v>
      </c>
      <c r="Q14" s="369">
        <v>18.5</v>
      </c>
      <c r="R14" s="353">
        <f>ROUND($AE$1*Q14/1000,0)</f>
        <v>27</v>
      </c>
      <c r="S14" s="357" t="s">
        <v>8</v>
      </c>
      <c r="T14" s="161">
        <v>76</v>
      </c>
      <c r="U14" s="162">
        <f t="shared" si="5"/>
        <v>2052</v>
      </c>
      <c r="V14" s="464"/>
      <c r="W14" s="189" t="s">
        <v>290</v>
      </c>
      <c r="X14" s="189">
        <v>8.5</v>
      </c>
      <c r="Y14" s="241">
        <f t="shared" si="4"/>
        <v>12</v>
      </c>
      <c r="Z14" s="160" t="s">
        <v>8</v>
      </c>
      <c r="AA14" s="161">
        <v>214</v>
      </c>
      <c r="AB14" s="162">
        <f t="shared" si="1"/>
        <v>2568</v>
      </c>
      <c r="AC14" s="462"/>
      <c r="AD14" s="341" t="s">
        <v>314</v>
      </c>
      <c r="AE14" s="341">
        <v>10</v>
      </c>
      <c r="AF14" s="241">
        <f>ROUND($AF$4*AE14/1000,0)</f>
        <v>14</v>
      </c>
      <c r="AG14" s="160" t="s">
        <v>8</v>
      </c>
      <c r="AH14" s="161">
        <v>80</v>
      </c>
      <c r="AI14" s="162">
        <f t="shared" si="2"/>
        <v>1120</v>
      </c>
      <c r="AL14" s="98"/>
      <c r="AM14" s="98"/>
      <c r="AN14" s="98"/>
      <c r="AO14" s="98"/>
      <c r="AP14" s="98"/>
      <c r="AQ14" s="98"/>
    </row>
    <row r="15" spans="1:43" s="150" customFormat="1" ht="18.75" customHeight="1">
      <c r="A15" s="462"/>
      <c r="B15" s="147" t="s">
        <v>310</v>
      </c>
      <c r="C15" s="147">
        <v>0.4</v>
      </c>
      <c r="D15" s="260">
        <f>ROUND($D$4*C15/1000,1)</f>
        <v>0.6</v>
      </c>
      <c r="E15" s="160" t="s">
        <v>8</v>
      </c>
      <c r="F15" s="161">
        <v>190</v>
      </c>
      <c r="G15" s="162">
        <f t="shared" si="0"/>
        <v>114</v>
      </c>
      <c r="H15" s="464"/>
      <c r="I15" s="359" t="s">
        <v>486</v>
      </c>
      <c r="J15" s="341">
        <v>10</v>
      </c>
      <c r="K15" s="159">
        <f>ROUND($K$4*J15/1000,0)</f>
        <v>15</v>
      </c>
      <c r="L15" s="149" t="s">
        <v>8</v>
      </c>
      <c r="M15" s="360">
        <v>175</v>
      </c>
      <c r="N15" s="162">
        <f t="shared" si="6"/>
        <v>2625</v>
      </c>
      <c r="O15" s="462"/>
      <c r="P15" s="526" t="s">
        <v>488</v>
      </c>
      <c r="Q15" s="527"/>
      <c r="R15" s="527"/>
      <c r="S15" s="528"/>
      <c r="T15" s="161"/>
      <c r="U15" s="162"/>
      <c r="V15" s="464"/>
      <c r="W15" s="148" t="s">
        <v>298</v>
      </c>
      <c r="X15" s="148">
        <v>6</v>
      </c>
      <c r="Y15" s="241">
        <f t="shared" si="4"/>
        <v>9</v>
      </c>
      <c r="Z15" s="149" t="s">
        <v>8</v>
      </c>
      <c r="AA15" s="161">
        <v>135</v>
      </c>
      <c r="AB15" s="162">
        <f t="shared" si="1"/>
        <v>1215</v>
      </c>
      <c r="AC15" s="462"/>
      <c r="AD15" s="154"/>
      <c r="AE15" s="148"/>
      <c r="AF15" s="241"/>
      <c r="AG15" s="160"/>
      <c r="AH15" s="161"/>
      <c r="AI15" s="162"/>
      <c r="AL15" s="98"/>
      <c r="AM15" s="98"/>
      <c r="AN15" s="98"/>
      <c r="AO15" s="98"/>
      <c r="AP15" s="98"/>
      <c r="AQ15" s="98"/>
    </row>
    <row r="16" spans="1:43" s="150" customFormat="1" ht="18.75" customHeight="1">
      <c r="A16" s="462"/>
      <c r="B16" s="147" t="s">
        <v>332</v>
      </c>
      <c r="C16" s="147">
        <v>3</v>
      </c>
      <c r="D16" s="260" t="s">
        <v>195</v>
      </c>
      <c r="E16" s="160" t="s">
        <v>217</v>
      </c>
      <c r="F16" s="161"/>
      <c r="G16" s="162"/>
      <c r="H16" s="464"/>
      <c r="I16" s="154" t="s">
        <v>330</v>
      </c>
      <c r="J16" s="148">
        <v>0.4</v>
      </c>
      <c r="K16" s="241">
        <f>ROUND($K$4*J16/1000,1)</f>
        <v>0.6</v>
      </c>
      <c r="L16" s="244" t="s">
        <v>8</v>
      </c>
      <c r="M16" s="161">
        <v>213</v>
      </c>
      <c r="N16" s="162">
        <f t="shared" si="6"/>
        <v>127.8</v>
      </c>
      <c r="O16" s="462"/>
      <c r="P16" s="370" t="s">
        <v>479</v>
      </c>
      <c r="Q16" s="208">
        <v>0.3</v>
      </c>
      <c r="R16" s="353">
        <f>ROUND($AE$1*Q16/100,0)</f>
        <v>4</v>
      </c>
      <c r="S16" s="209" t="s">
        <v>500</v>
      </c>
      <c r="T16" s="161">
        <v>160</v>
      </c>
      <c r="U16" s="162">
        <f t="shared" si="5"/>
        <v>640</v>
      </c>
      <c r="V16" s="464"/>
      <c r="W16" s="190" t="s">
        <v>401</v>
      </c>
      <c r="X16" s="189">
        <v>3</v>
      </c>
      <c r="Y16" s="241">
        <f t="shared" si="4"/>
        <v>4</v>
      </c>
      <c r="Z16" s="160" t="s">
        <v>8</v>
      </c>
      <c r="AA16" s="161">
        <v>75</v>
      </c>
      <c r="AB16" s="162">
        <f t="shared" si="1"/>
        <v>300</v>
      </c>
      <c r="AC16" s="462"/>
      <c r="AD16" s="371" t="s">
        <v>501</v>
      </c>
      <c r="AE16" s="147"/>
      <c r="AF16" s="241"/>
      <c r="AG16" s="160"/>
      <c r="AH16" s="161"/>
      <c r="AI16" s="162"/>
      <c r="AL16" s="98"/>
      <c r="AM16" s="98"/>
      <c r="AN16" s="98"/>
      <c r="AO16" s="98"/>
      <c r="AP16" s="98"/>
      <c r="AQ16" s="98"/>
    </row>
    <row r="17" spans="1:43" s="150" customFormat="1" ht="18.75" customHeight="1">
      <c r="A17" s="462"/>
      <c r="B17" s="147" t="s">
        <v>311</v>
      </c>
      <c r="C17" s="147"/>
      <c r="D17" s="260"/>
      <c r="E17" s="160"/>
      <c r="F17" s="161"/>
      <c r="G17" s="162"/>
      <c r="H17" s="464"/>
      <c r="I17" s="493" t="s">
        <v>487</v>
      </c>
      <c r="J17" s="512"/>
      <c r="K17" s="512"/>
      <c r="L17" s="513"/>
      <c r="M17" s="161"/>
      <c r="N17" s="162">
        <f t="shared" si="6"/>
        <v>0</v>
      </c>
      <c r="O17" s="517" t="str">
        <f>'11月'!C11</f>
        <v>滷雞翅(加菜)</v>
      </c>
      <c r="P17" s="189" t="s">
        <v>221</v>
      </c>
      <c r="Q17" s="189">
        <v>0.2</v>
      </c>
      <c r="R17" s="148">
        <f>ROUND($R$4*Q17/1000,1)</f>
        <v>0.3</v>
      </c>
      <c r="S17" s="149" t="s">
        <v>8</v>
      </c>
      <c r="T17" s="161">
        <v>110</v>
      </c>
      <c r="U17" s="162">
        <f>R17*T17</f>
        <v>33</v>
      </c>
      <c r="V17" s="464"/>
      <c r="W17" s="365" t="s">
        <v>502</v>
      </c>
      <c r="X17" s="189">
        <v>8.5</v>
      </c>
      <c r="Y17" s="241">
        <f t="shared" si="4"/>
        <v>12</v>
      </c>
      <c r="Z17" s="160" t="s">
        <v>8</v>
      </c>
      <c r="AA17" s="161">
        <v>90</v>
      </c>
      <c r="AB17" s="162">
        <f t="shared" si="1"/>
        <v>1080</v>
      </c>
      <c r="AC17" s="462"/>
      <c r="AD17" s="147"/>
      <c r="AE17" s="147"/>
      <c r="AF17" s="241"/>
      <c r="AG17" s="160"/>
      <c r="AH17" s="161"/>
      <c r="AI17" s="162"/>
      <c r="AL17" s="98"/>
      <c r="AM17" s="98"/>
      <c r="AN17" s="98"/>
      <c r="AO17" s="98"/>
      <c r="AP17" s="98"/>
      <c r="AQ17" s="98"/>
    </row>
    <row r="18" spans="1:43" s="150" customFormat="1" ht="18.75" customHeight="1">
      <c r="A18" s="462"/>
      <c r="B18" s="147"/>
      <c r="C18" s="147"/>
      <c r="D18" s="260"/>
      <c r="E18" s="160"/>
      <c r="F18" s="161"/>
      <c r="G18" s="162"/>
      <c r="H18" s="465"/>
      <c r="I18" s="514"/>
      <c r="J18" s="515"/>
      <c r="K18" s="515"/>
      <c r="L18" s="516"/>
      <c r="M18" s="161"/>
      <c r="N18" s="162">
        <f t="shared" si="6"/>
        <v>0</v>
      </c>
      <c r="O18" s="517"/>
      <c r="P18" s="189" t="s">
        <v>473</v>
      </c>
      <c r="Q18" s="189">
        <v>1</v>
      </c>
      <c r="R18" s="148">
        <f>ROUND($R$4*Q18,0)</f>
        <v>1450</v>
      </c>
      <c r="S18" s="148" t="s">
        <v>268</v>
      </c>
      <c r="T18" s="161">
        <v>180</v>
      </c>
      <c r="U18" s="162">
        <f>R18*T18*110/1000</f>
        <v>28710</v>
      </c>
      <c r="V18" s="465"/>
      <c r="W18" s="147"/>
      <c r="X18" s="147"/>
      <c r="Y18" s="241"/>
      <c r="Z18" s="160"/>
      <c r="AA18" s="161"/>
      <c r="AB18" s="162"/>
      <c r="AC18" s="462"/>
      <c r="AD18" s="147"/>
      <c r="AE18" s="147"/>
      <c r="AF18" s="241"/>
      <c r="AG18" s="160"/>
      <c r="AH18" s="161"/>
      <c r="AI18" s="162"/>
      <c r="AL18" s="98"/>
      <c r="AM18" s="98"/>
      <c r="AN18" s="98"/>
      <c r="AO18" s="98"/>
      <c r="AP18" s="98"/>
      <c r="AQ18" s="98"/>
    </row>
    <row r="19" spans="1:43" s="150" customFormat="1" ht="18.75" customHeight="1">
      <c r="A19" s="529" t="str">
        <f>'11月'!A13</f>
        <v>有機青菜</v>
      </c>
      <c r="B19" s="235" t="s">
        <v>492</v>
      </c>
      <c r="C19" s="147">
        <v>62</v>
      </c>
      <c r="D19" s="260">
        <f t="shared" si="3"/>
        <v>90</v>
      </c>
      <c r="E19" s="149" t="s">
        <v>8</v>
      </c>
      <c r="F19" s="161"/>
      <c r="G19" s="162">
        <f>D19*F19</f>
        <v>0</v>
      </c>
      <c r="H19" s="476" t="str">
        <f>'11月'!B13</f>
        <v>有機青菜</v>
      </c>
      <c r="I19" s="163" t="s">
        <v>251</v>
      </c>
      <c r="J19" s="147">
        <v>65.5</v>
      </c>
      <c r="K19" s="241">
        <f>ROUND($K$4*J19/1000,0)</f>
        <v>95</v>
      </c>
      <c r="L19" s="164" t="s">
        <v>8</v>
      </c>
      <c r="M19" s="161"/>
      <c r="N19" s="162">
        <f t="shared" si="6"/>
        <v>0</v>
      </c>
      <c r="O19" s="517"/>
      <c r="P19" s="165" t="s">
        <v>254</v>
      </c>
      <c r="Q19" s="189">
        <v>0.2</v>
      </c>
      <c r="R19" s="148">
        <f>ROUND($R$4*Q19/1000,1)</f>
        <v>0.3</v>
      </c>
      <c r="S19" s="149" t="s">
        <v>8</v>
      </c>
      <c r="T19" s="161">
        <v>213</v>
      </c>
      <c r="U19" s="162">
        <f t="shared" si="5"/>
        <v>63.9</v>
      </c>
      <c r="V19" s="476" t="str">
        <f>'11月'!D13</f>
        <v>有機青菜</v>
      </c>
      <c r="W19" s="163" t="s">
        <v>493</v>
      </c>
      <c r="X19" s="147">
        <v>62</v>
      </c>
      <c r="Y19" s="241">
        <f t="shared" si="4"/>
        <v>90</v>
      </c>
      <c r="Z19" s="160" t="s">
        <v>8</v>
      </c>
      <c r="AA19" s="161"/>
      <c r="AB19" s="162">
        <f t="shared" si="1"/>
        <v>0</v>
      </c>
      <c r="AC19" s="476" t="str">
        <f>'11月'!E13</f>
        <v>有機青菜</v>
      </c>
      <c r="AD19" s="163" t="s">
        <v>494</v>
      </c>
      <c r="AE19" s="147">
        <v>62</v>
      </c>
      <c r="AF19" s="241">
        <f>ROUND($AF$4*AE19/1000,0)</f>
        <v>87</v>
      </c>
      <c r="AG19" s="160" t="s">
        <v>8</v>
      </c>
      <c r="AH19" s="161"/>
      <c r="AI19" s="162">
        <f t="shared" si="2"/>
        <v>0</v>
      </c>
      <c r="AL19" s="101"/>
      <c r="AM19" s="101"/>
      <c r="AN19" s="101"/>
      <c r="AO19" s="101"/>
      <c r="AP19" s="101"/>
      <c r="AQ19" s="101"/>
    </row>
    <row r="20" spans="1:43" s="150" customFormat="1" ht="18.75" customHeight="1">
      <c r="A20" s="529"/>
      <c r="B20" s="154" t="s">
        <v>9</v>
      </c>
      <c r="C20" s="148">
        <v>0.4</v>
      </c>
      <c r="D20" s="260">
        <f>ROUND($D$4*C20/1000,1)</f>
        <v>0.6</v>
      </c>
      <c r="E20" s="149" t="s">
        <v>8</v>
      </c>
      <c r="F20" s="161">
        <v>110</v>
      </c>
      <c r="G20" s="162">
        <f>D20*F20</f>
        <v>66</v>
      </c>
      <c r="H20" s="476"/>
      <c r="I20" s="152" t="s">
        <v>330</v>
      </c>
      <c r="J20" s="148">
        <v>0.4</v>
      </c>
      <c r="K20" s="241">
        <f>ROUND($K$4*J20/1000,1)</f>
        <v>0.6</v>
      </c>
      <c r="L20" s="160" t="s">
        <v>8</v>
      </c>
      <c r="M20" s="161">
        <v>213</v>
      </c>
      <c r="N20" s="162">
        <f t="shared" si="6"/>
        <v>127.8</v>
      </c>
      <c r="O20" s="518" t="str">
        <f>'11月'!C12</f>
        <v>鮮炒青菜</v>
      </c>
      <c r="P20" s="165" t="s">
        <v>368</v>
      </c>
      <c r="Q20" s="147">
        <v>62</v>
      </c>
      <c r="R20" s="148">
        <f>ROUND($R$4*Q20/1000,0)</f>
        <v>90</v>
      </c>
      <c r="S20" s="148" t="s">
        <v>8</v>
      </c>
      <c r="T20" s="161"/>
      <c r="U20" s="162">
        <f t="shared" si="5"/>
        <v>0</v>
      </c>
      <c r="V20" s="476"/>
      <c r="W20" s="154" t="s">
        <v>330</v>
      </c>
      <c r="X20" s="148">
        <v>0.4</v>
      </c>
      <c r="Y20" s="241">
        <f>ROUND($Y$4*X20/1000,1)</f>
        <v>0.6</v>
      </c>
      <c r="Z20" s="160" t="s">
        <v>8</v>
      </c>
      <c r="AA20" s="161">
        <v>213</v>
      </c>
      <c r="AB20" s="162">
        <f t="shared" si="1"/>
        <v>127.8</v>
      </c>
      <c r="AC20" s="476"/>
      <c r="AD20" s="152" t="s">
        <v>330</v>
      </c>
      <c r="AE20" s="148">
        <v>0.4</v>
      </c>
      <c r="AF20" s="241">
        <f>ROUND($AF$4*AE20/1000,1)</f>
        <v>0.6</v>
      </c>
      <c r="AG20" s="160" t="s">
        <v>8</v>
      </c>
      <c r="AH20" s="161">
        <v>213</v>
      </c>
      <c r="AI20" s="162">
        <f t="shared" si="2"/>
        <v>127.8</v>
      </c>
      <c r="AL20" s="120"/>
      <c r="AM20" s="120"/>
      <c r="AN20" s="120"/>
      <c r="AO20" s="120"/>
      <c r="AP20" s="120"/>
      <c r="AQ20" s="120"/>
    </row>
    <row r="21" spans="1:43" s="150" customFormat="1" ht="18.75" customHeight="1">
      <c r="A21" s="529"/>
      <c r="B21" s="155"/>
      <c r="C21" s="147"/>
      <c r="D21" s="260"/>
      <c r="E21" s="149"/>
      <c r="F21" s="161"/>
      <c r="G21" s="162"/>
      <c r="H21" s="476"/>
      <c r="I21" s="359" t="s">
        <v>484</v>
      </c>
      <c r="J21" s="341">
        <v>2</v>
      </c>
      <c r="K21" s="159">
        <f>ROUND($K$4*J21/1000,0)</f>
        <v>3</v>
      </c>
      <c r="L21" s="149" t="s">
        <v>8</v>
      </c>
      <c r="M21" s="360">
        <v>75</v>
      </c>
      <c r="N21" s="162">
        <f>K21*M21</f>
        <v>225</v>
      </c>
      <c r="O21" s="519"/>
      <c r="P21" s="165" t="s">
        <v>254</v>
      </c>
      <c r="Q21" s="165">
        <v>0.4</v>
      </c>
      <c r="R21" s="148">
        <f>ROUND($R$4*Q21/1000,1)</f>
        <v>0.6</v>
      </c>
      <c r="S21" s="148" t="s">
        <v>8</v>
      </c>
      <c r="T21" s="161">
        <v>213</v>
      </c>
      <c r="U21" s="162">
        <f t="shared" si="5"/>
        <v>127.8</v>
      </c>
      <c r="V21" s="476"/>
      <c r="W21" s="147"/>
      <c r="X21" s="147"/>
      <c r="Y21" s="241"/>
      <c r="Z21" s="160"/>
      <c r="AA21" s="161"/>
      <c r="AB21" s="162"/>
      <c r="AC21" s="476"/>
      <c r="AD21" s="165"/>
      <c r="AE21" s="165"/>
      <c r="AF21" s="241"/>
      <c r="AG21" s="160"/>
      <c r="AH21" s="161"/>
      <c r="AI21" s="162"/>
      <c r="AL21" s="126"/>
      <c r="AM21" s="126"/>
      <c r="AN21" s="126"/>
      <c r="AO21" s="126"/>
      <c r="AP21" s="126"/>
      <c r="AQ21" s="126"/>
    </row>
    <row r="22" spans="1:43" s="150" customFormat="1" ht="18.75" customHeight="1">
      <c r="A22" s="529"/>
      <c r="B22" s="155"/>
      <c r="C22" s="147"/>
      <c r="D22" s="260"/>
      <c r="E22" s="149"/>
      <c r="F22" s="161"/>
      <c r="G22" s="162"/>
      <c r="H22" s="476"/>
      <c r="I22" s="148"/>
      <c r="J22" s="148"/>
      <c r="K22" s="241"/>
      <c r="L22" s="160"/>
      <c r="M22" s="161"/>
      <c r="N22" s="162">
        <f t="shared" si="6"/>
        <v>0</v>
      </c>
      <c r="O22" s="490" t="str">
        <f>'11月'!C13</f>
        <v>◎ 味噌魚湯</v>
      </c>
      <c r="P22" s="154" t="s">
        <v>470</v>
      </c>
      <c r="Q22" s="350">
        <v>6.5</v>
      </c>
      <c r="R22" s="159">
        <f>ROUND($R$4*Q22/1000,0)</f>
        <v>9</v>
      </c>
      <c r="S22" s="159" t="s">
        <v>8</v>
      </c>
      <c r="T22" s="161">
        <v>380</v>
      </c>
      <c r="U22" s="162">
        <f t="shared" si="5"/>
        <v>3420</v>
      </c>
      <c r="V22" s="476"/>
      <c r="W22" s="147"/>
      <c r="X22" s="147"/>
      <c r="Y22" s="241"/>
      <c r="Z22" s="160"/>
      <c r="AA22" s="161"/>
      <c r="AB22" s="162"/>
      <c r="AC22" s="476"/>
      <c r="AD22" s="155"/>
      <c r="AE22" s="147"/>
      <c r="AF22" s="241"/>
      <c r="AG22" s="160"/>
      <c r="AH22" s="161"/>
      <c r="AI22" s="162"/>
      <c r="AK22" s="464">
        <f>'[3]11月'!Y10</f>
        <v>0</v>
      </c>
      <c r="AL22" s="147" t="s">
        <v>314</v>
      </c>
      <c r="AM22" s="147">
        <v>35</v>
      </c>
      <c r="AN22" s="159">
        <f>ROUND($AE$1*AM22/1000,0)</f>
        <v>51</v>
      </c>
      <c r="AO22" s="159" t="s">
        <v>8</v>
      </c>
      <c r="AP22" s="126"/>
      <c r="AQ22" s="126"/>
    </row>
    <row r="23" spans="1:43" s="150" customFormat="1" ht="18.75" customHeight="1">
      <c r="A23" s="462" t="str">
        <f>'11月'!A14</f>
        <v>玉米蛋花湯</v>
      </c>
      <c r="B23" s="189" t="s">
        <v>323</v>
      </c>
      <c r="C23" s="189">
        <v>20.5</v>
      </c>
      <c r="D23" s="260">
        <f t="shared" si="3"/>
        <v>30</v>
      </c>
      <c r="E23" s="149" t="s">
        <v>8</v>
      </c>
      <c r="F23" s="161">
        <v>90</v>
      </c>
      <c r="G23" s="162">
        <f>D23*F23</f>
        <v>2700</v>
      </c>
      <c r="H23" s="463" t="str">
        <f>'11月'!B14</f>
        <v>蘿蔔湯</v>
      </c>
      <c r="I23" s="147" t="s">
        <v>337</v>
      </c>
      <c r="J23" s="147">
        <v>31</v>
      </c>
      <c r="K23" s="241">
        <f>ROUND($AF$4*J23/1000,0)</f>
        <v>44</v>
      </c>
      <c r="L23" s="160" t="s">
        <v>8</v>
      </c>
      <c r="M23" s="161">
        <v>48</v>
      </c>
      <c r="N23" s="162">
        <f t="shared" si="6"/>
        <v>2112</v>
      </c>
      <c r="O23" s="490"/>
      <c r="P23" s="350" t="s">
        <v>406</v>
      </c>
      <c r="Q23" s="350">
        <v>0.3</v>
      </c>
      <c r="R23" s="159">
        <f>ROUND($R$4*Q23/1000,1)</f>
        <v>0.4</v>
      </c>
      <c r="S23" s="159" t="s">
        <v>8</v>
      </c>
      <c r="T23" s="161">
        <v>550</v>
      </c>
      <c r="U23" s="162">
        <f t="shared" si="5"/>
        <v>220</v>
      </c>
      <c r="V23" s="462" t="str">
        <f>'11月'!D14</f>
        <v>紅豆紫米湯</v>
      </c>
      <c r="W23" s="151" t="s">
        <v>489</v>
      </c>
      <c r="X23" s="147">
        <v>10.5</v>
      </c>
      <c r="Y23" s="241">
        <f>ROUND($Y$4*X23/1000,0)</f>
        <v>15</v>
      </c>
      <c r="Z23" s="159" t="s">
        <v>8</v>
      </c>
      <c r="AA23" s="161">
        <v>140</v>
      </c>
      <c r="AB23" s="162">
        <f t="shared" si="1"/>
        <v>2100</v>
      </c>
      <c r="AC23" s="462" t="str">
        <f>'11月'!E14</f>
        <v>肉骨茶湯</v>
      </c>
      <c r="AD23" s="147" t="s">
        <v>318</v>
      </c>
      <c r="AE23" s="147">
        <v>1.23</v>
      </c>
      <c r="AF23" s="241">
        <f>ROUND($AF$4*AE23/60,0)</f>
        <v>29</v>
      </c>
      <c r="AG23" s="160" t="s">
        <v>218</v>
      </c>
      <c r="AH23" s="161">
        <v>45</v>
      </c>
      <c r="AI23" s="162">
        <f t="shared" si="2"/>
        <v>1305</v>
      </c>
      <c r="AK23" s="464"/>
      <c r="AL23" s="148" t="s">
        <v>315</v>
      </c>
      <c r="AM23" s="147">
        <v>5</v>
      </c>
      <c r="AN23" s="159">
        <f>ROUND($AE$1*AM23/1000,0)</f>
        <v>7</v>
      </c>
      <c r="AO23" s="159" t="s">
        <v>8</v>
      </c>
      <c r="AP23" s="126"/>
      <c r="AQ23" s="126"/>
    </row>
    <row r="24" spans="1:43" s="150" customFormat="1" ht="18.75" customHeight="1">
      <c r="A24" s="462"/>
      <c r="B24" s="189" t="s">
        <v>255</v>
      </c>
      <c r="C24" s="189">
        <v>7</v>
      </c>
      <c r="D24" s="260">
        <f t="shared" si="3"/>
        <v>10</v>
      </c>
      <c r="E24" s="149" t="s">
        <v>8</v>
      </c>
      <c r="F24" s="161">
        <v>107</v>
      </c>
      <c r="G24" s="162">
        <f>D24*F24</f>
        <v>1070</v>
      </c>
      <c r="H24" s="464"/>
      <c r="I24" s="341" t="s">
        <v>505</v>
      </c>
      <c r="J24" s="341">
        <v>4</v>
      </c>
      <c r="K24" s="241">
        <f>ROUND($K$4*J24/1000,0)</f>
        <v>6</v>
      </c>
      <c r="L24" s="149" t="s">
        <v>8</v>
      </c>
      <c r="M24" s="161">
        <v>170</v>
      </c>
      <c r="N24" s="162">
        <f aca="true" t="shared" si="7" ref="N24:N29">K24*M24</f>
        <v>1020</v>
      </c>
      <c r="O24" s="490"/>
      <c r="P24" s="352" t="s">
        <v>467</v>
      </c>
      <c r="Q24" s="350">
        <v>22</v>
      </c>
      <c r="R24" s="159">
        <f>ROUND($R$4*Q24/4300,0)</f>
        <v>7</v>
      </c>
      <c r="S24" s="159" t="s">
        <v>222</v>
      </c>
      <c r="T24" s="161">
        <v>195</v>
      </c>
      <c r="U24" s="162">
        <f t="shared" si="5"/>
        <v>1365</v>
      </c>
      <c r="V24" s="462"/>
      <c r="W24" s="189" t="s">
        <v>490</v>
      </c>
      <c r="X24" s="189">
        <v>3.5</v>
      </c>
      <c r="Y24" s="241">
        <f>ROUND($Y$4*X24/1000,0)</f>
        <v>5</v>
      </c>
      <c r="Z24" s="159" t="s">
        <v>8</v>
      </c>
      <c r="AA24" s="161">
        <v>85</v>
      </c>
      <c r="AB24" s="162">
        <f t="shared" si="1"/>
        <v>425</v>
      </c>
      <c r="AC24" s="462"/>
      <c r="AD24" s="147" t="s">
        <v>507</v>
      </c>
      <c r="AE24" s="147">
        <v>20.5</v>
      </c>
      <c r="AF24" s="241">
        <f>ROUND($AF$4*AE24/1000,0)</f>
        <v>29</v>
      </c>
      <c r="AG24" s="160" t="s">
        <v>8</v>
      </c>
      <c r="AH24" s="161">
        <v>48</v>
      </c>
      <c r="AI24" s="162">
        <f t="shared" si="2"/>
        <v>1392</v>
      </c>
      <c r="AK24" s="464"/>
      <c r="AL24" s="147" t="s">
        <v>205</v>
      </c>
      <c r="AM24" s="147">
        <v>0.5</v>
      </c>
      <c r="AN24" s="159">
        <f>ROUND($AE$1*AM24/1000,1)</f>
        <v>0.7</v>
      </c>
      <c r="AO24" s="159" t="s">
        <v>8</v>
      </c>
      <c r="AP24" s="126"/>
      <c r="AQ24" s="126"/>
    </row>
    <row r="25" spans="1:43" s="150" customFormat="1" ht="18.75" customHeight="1">
      <c r="A25" s="462"/>
      <c r="B25" s="190" t="s">
        <v>403</v>
      </c>
      <c r="C25" s="188">
        <v>1</v>
      </c>
      <c r="D25" s="260">
        <f t="shared" si="3"/>
        <v>1</v>
      </c>
      <c r="E25" s="149" t="s">
        <v>8</v>
      </c>
      <c r="F25" s="161">
        <v>296</v>
      </c>
      <c r="G25" s="162">
        <f>D25*F25</f>
        <v>296</v>
      </c>
      <c r="H25" s="464"/>
      <c r="I25" s="341" t="s">
        <v>304</v>
      </c>
      <c r="J25" s="341">
        <v>4</v>
      </c>
      <c r="K25" s="241">
        <f>ROUND($K$4*J25/1000,0)</f>
        <v>6</v>
      </c>
      <c r="L25" s="160" t="s">
        <v>8</v>
      </c>
      <c r="M25" s="161">
        <v>65</v>
      </c>
      <c r="N25" s="162">
        <f t="shared" si="7"/>
        <v>390</v>
      </c>
      <c r="O25" s="490"/>
      <c r="P25" s="350" t="s">
        <v>403</v>
      </c>
      <c r="Q25" s="350">
        <v>1</v>
      </c>
      <c r="R25" s="159">
        <f>ROUND($R$4*Q25/1000,0)</f>
        <v>1</v>
      </c>
      <c r="S25" s="159" t="s">
        <v>8</v>
      </c>
      <c r="T25" s="161">
        <v>296</v>
      </c>
      <c r="U25" s="162">
        <f t="shared" si="5"/>
        <v>296</v>
      </c>
      <c r="V25" s="462"/>
      <c r="W25" s="189" t="s">
        <v>306</v>
      </c>
      <c r="X25" s="189">
        <v>15</v>
      </c>
      <c r="Y25" s="241">
        <f>ROUND($Y$4*X25/20000,0)</f>
        <v>1</v>
      </c>
      <c r="Z25" s="159" t="s">
        <v>289</v>
      </c>
      <c r="AA25" s="161">
        <v>1100</v>
      </c>
      <c r="AB25" s="162">
        <f t="shared" si="1"/>
        <v>1100</v>
      </c>
      <c r="AC25" s="462"/>
      <c r="AD25" s="147" t="s">
        <v>457</v>
      </c>
      <c r="AE25" s="147">
        <v>0.5</v>
      </c>
      <c r="AF25" s="241">
        <f>ROUND($AF$4*AE25/1000,0)</f>
        <v>1</v>
      </c>
      <c r="AG25" s="160" t="s">
        <v>8</v>
      </c>
      <c r="AH25" s="161"/>
      <c r="AI25" s="162"/>
      <c r="AK25" s="464"/>
      <c r="AL25" s="147" t="s">
        <v>291</v>
      </c>
      <c r="AM25" s="147">
        <v>1</v>
      </c>
      <c r="AN25" s="159">
        <f>ROUND($AE$1*AM25/1000,0)</f>
        <v>1</v>
      </c>
      <c r="AO25" s="159" t="s">
        <v>8</v>
      </c>
      <c r="AP25" s="126"/>
      <c r="AQ25" s="126"/>
    </row>
    <row r="26" spans="1:43" s="150" customFormat="1" ht="18.75" customHeight="1" thickBot="1">
      <c r="A26" s="462"/>
      <c r="B26" s="147"/>
      <c r="C26" s="147"/>
      <c r="D26" s="148"/>
      <c r="E26" s="149"/>
      <c r="F26" s="161"/>
      <c r="G26" s="162"/>
      <c r="H26" s="464"/>
      <c r="I26" s="341" t="s">
        <v>508</v>
      </c>
      <c r="J26" s="148">
        <v>0.4</v>
      </c>
      <c r="K26" s="241">
        <f>ROUND($K$4*J26/1000,1)</f>
        <v>0.6</v>
      </c>
      <c r="L26" s="160" t="s">
        <v>8</v>
      </c>
      <c r="M26" s="161"/>
      <c r="N26" s="162">
        <f t="shared" si="7"/>
        <v>0</v>
      </c>
      <c r="O26" s="490"/>
      <c r="P26" s="350" t="s">
        <v>468</v>
      </c>
      <c r="Q26" s="350">
        <v>0.5</v>
      </c>
      <c r="R26" s="159">
        <f>ROUND($R$4*Q26/600,0)</f>
        <v>1</v>
      </c>
      <c r="S26" s="159" t="s">
        <v>218</v>
      </c>
      <c r="T26" s="161">
        <v>280</v>
      </c>
      <c r="U26" s="162">
        <f t="shared" si="5"/>
        <v>280</v>
      </c>
      <c r="V26" s="462"/>
      <c r="W26" s="189"/>
      <c r="X26" s="189"/>
      <c r="Y26" s="241"/>
      <c r="Z26" s="159"/>
      <c r="AA26" s="161"/>
      <c r="AB26" s="162"/>
      <c r="AC26" s="462"/>
      <c r="AD26" s="147" t="s">
        <v>407</v>
      </c>
      <c r="AE26" s="147">
        <v>8.5</v>
      </c>
      <c r="AF26" s="241">
        <f>ROUND($AF$4*AE26/1000,0)</f>
        <v>12</v>
      </c>
      <c r="AG26" s="160" t="s">
        <v>8</v>
      </c>
      <c r="AH26" s="161">
        <v>80</v>
      </c>
      <c r="AI26" s="162">
        <f t="shared" si="2"/>
        <v>960</v>
      </c>
      <c r="AK26" s="532"/>
      <c r="AL26" s="166"/>
      <c r="AM26" s="167"/>
      <c r="AN26" s="156"/>
      <c r="AO26" s="157"/>
      <c r="AP26" s="126"/>
      <c r="AQ26" s="126"/>
    </row>
    <row r="27" spans="1:43" s="150" customFormat="1" ht="18.75" customHeight="1">
      <c r="A27" s="462"/>
      <c r="B27" s="147"/>
      <c r="C27" s="147"/>
      <c r="D27" s="148"/>
      <c r="E27" s="149"/>
      <c r="F27" s="161"/>
      <c r="G27" s="162"/>
      <c r="H27" s="464"/>
      <c r="I27" s="372"/>
      <c r="J27" s="147"/>
      <c r="K27" s="241"/>
      <c r="L27" s="149"/>
      <c r="M27" s="161"/>
      <c r="N27" s="162">
        <f t="shared" si="7"/>
        <v>0</v>
      </c>
      <c r="O27" s="492"/>
      <c r="P27" s="350" t="s">
        <v>469</v>
      </c>
      <c r="Q27" s="350">
        <v>6</v>
      </c>
      <c r="R27" s="159">
        <f>ROUND($R$4*Q27/1000,0)</f>
        <v>9</v>
      </c>
      <c r="S27" s="159" t="s">
        <v>8</v>
      </c>
      <c r="T27" s="161">
        <v>195</v>
      </c>
      <c r="U27" s="203">
        <f>R27*T27</f>
        <v>1755</v>
      </c>
      <c r="V27" s="462"/>
      <c r="W27" s="147"/>
      <c r="X27" s="147"/>
      <c r="Y27" s="159"/>
      <c r="Z27" s="149"/>
      <c r="AA27" s="161"/>
      <c r="AB27" s="162"/>
      <c r="AC27" s="462"/>
      <c r="AD27" s="216" t="s">
        <v>408</v>
      </c>
      <c r="AE27" s="147">
        <v>6</v>
      </c>
      <c r="AF27" s="241">
        <f>ROUND($AF$4*AE27/1000,0)</f>
        <v>8</v>
      </c>
      <c r="AG27" s="160" t="s">
        <v>8</v>
      </c>
      <c r="AH27" s="161">
        <v>181</v>
      </c>
      <c r="AI27" s="162">
        <f t="shared" si="2"/>
        <v>1448</v>
      </c>
      <c r="AL27" s="126"/>
      <c r="AM27" s="126"/>
      <c r="AN27" s="126"/>
      <c r="AO27" s="126"/>
      <c r="AP27" s="126"/>
      <c r="AQ27" s="126"/>
    </row>
    <row r="28" spans="1:43" s="150" customFormat="1" ht="18.75" customHeight="1">
      <c r="A28" s="462"/>
      <c r="B28" s="147"/>
      <c r="C28" s="147"/>
      <c r="D28" s="148"/>
      <c r="E28" s="149"/>
      <c r="F28" s="161"/>
      <c r="G28" s="162"/>
      <c r="H28" s="464"/>
      <c r="I28" s="372" t="s">
        <v>506</v>
      </c>
      <c r="J28" s="147"/>
      <c r="K28" s="241"/>
      <c r="L28" s="149"/>
      <c r="M28" s="161"/>
      <c r="N28" s="162">
        <f t="shared" si="7"/>
        <v>0</v>
      </c>
      <c r="O28" s="510" t="str">
        <f>'11月'!C14</f>
        <v>乳品加菜</v>
      </c>
      <c r="P28" s="189" t="s">
        <v>409</v>
      </c>
      <c r="Q28" s="189">
        <v>10.5</v>
      </c>
      <c r="R28" s="241">
        <f>ROUND($Y$4*Q28/1000,0)</f>
        <v>15</v>
      </c>
      <c r="S28" s="160" t="s">
        <v>8</v>
      </c>
      <c r="T28" s="161">
        <v>90</v>
      </c>
      <c r="U28" s="203">
        <f>R28*T28</f>
        <v>1350</v>
      </c>
      <c r="V28" s="462"/>
      <c r="W28" s="147"/>
      <c r="X28" s="147"/>
      <c r="Y28" s="159"/>
      <c r="Z28" s="149"/>
      <c r="AA28" s="161"/>
      <c r="AB28" s="162"/>
      <c r="AC28" s="462"/>
      <c r="AD28" s="147"/>
      <c r="AE28" s="147"/>
      <c r="AF28" s="241"/>
      <c r="AG28" s="160"/>
      <c r="AH28" s="161"/>
      <c r="AI28" s="162"/>
      <c r="AJ28" s="150">
        <f>F30+M30+T30+AA30+AH30</f>
        <v>221073.80000000002</v>
      </c>
      <c r="AK28" s="150">
        <f>AJ28/5/AE1</f>
        <v>30.492937931034483</v>
      </c>
      <c r="AL28" s="126"/>
      <c r="AM28" s="126"/>
      <c r="AN28" s="126"/>
      <c r="AO28" s="126"/>
      <c r="AP28" s="126"/>
      <c r="AQ28" s="126"/>
    </row>
    <row r="29" spans="1:43" s="150" customFormat="1" ht="18.75" customHeight="1" thickBot="1">
      <c r="A29" s="463"/>
      <c r="B29" s="167"/>
      <c r="C29" s="167"/>
      <c r="D29" s="156"/>
      <c r="E29" s="157"/>
      <c r="F29" s="168"/>
      <c r="G29" s="203"/>
      <c r="H29" s="464"/>
      <c r="I29" s="167" t="s">
        <v>369</v>
      </c>
      <c r="J29" s="167">
        <v>1</v>
      </c>
      <c r="K29" s="241">
        <f>ROUND($K$4*J29,0)</f>
        <v>1450</v>
      </c>
      <c r="L29" s="157" t="s">
        <v>10</v>
      </c>
      <c r="M29" s="168">
        <v>12</v>
      </c>
      <c r="N29" s="203">
        <f t="shared" si="7"/>
        <v>17400</v>
      </c>
      <c r="O29" s="511"/>
      <c r="P29" s="216" t="s">
        <v>339</v>
      </c>
      <c r="Q29" s="147"/>
      <c r="R29" s="159" t="s">
        <v>195</v>
      </c>
      <c r="S29" s="160"/>
      <c r="T29" s="168"/>
      <c r="U29" s="203"/>
      <c r="V29" s="463"/>
      <c r="W29" s="167"/>
      <c r="X29" s="167"/>
      <c r="Y29" s="156"/>
      <c r="Z29" s="157"/>
      <c r="AA29" s="168"/>
      <c r="AB29" s="203"/>
      <c r="AC29" s="533"/>
      <c r="AD29" s="507" t="s">
        <v>523</v>
      </c>
      <c r="AE29" s="508"/>
      <c r="AF29" s="508"/>
      <c r="AG29" s="509"/>
      <c r="AH29" s="168"/>
      <c r="AI29" s="203"/>
      <c r="AJ29" s="150">
        <f>AJ28-G6-G10-N7-N8-U14-AB17-AI27</f>
        <v>197149.80000000002</v>
      </c>
      <c r="AK29" s="150">
        <f>AJ29/5</f>
        <v>39429.96000000001</v>
      </c>
      <c r="AL29" s="126"/>
      <c r="AM29" s="126"/>
      <c r="AN29" s="126"/>
      <c r="AO29" s="126"/>
      <c r="AP29" s="126"/>
      <c r="AQ29" s="126"/>
    </row>
    <row r="30" spans="1:43" s="98" customFormat="1" ht="18.75" customHeight="1">
      <c r="A30" s="504" t="s">
        <v>11</v>
      </c>
      <c r="B30" s="89" t="s">
        <v>210</v>
      </c>
      <c r="C30" s="473">
        <v>4.3</v>
      </c>
      <c r="D30" s="473"/>
      <c r="E30" s="474"/>
      <c r="F30" s="469">
        <f>SUM(G4:G29)</f>
        <v>39004</v>
      </c>
      <c r="G30" s="469"/>
      <c r="H30" s="470" t="s">
        <v>11</v>
      </c>
      <c r="I30" s="89" t="s">
        <v>210</v>
      </c>
      <c r="J30" s="473">
        <v>4.1</v>
      </c>
      <c r="K30" s="473"/>
      <c r="L30" s="474"/>
      <c r="M30" s="534">
        <f>SUM(N4:N29)</f>
        <v>56250.600000000006</v>
      </c>
      <c r="N30" s="535"/>
      <c r="O30" s="496" t="s">
        <v>11</v>
      </c>
      <c r="P30" s="89" t="s">
        <v>210</v>
      </c>
      <c r="Q30" s="473">
        <v>4</v>
      </c>
      <c r="R30" s="473"/>
      <c r="S30" s="474"/>
      <c r="T30" s="469">
        <f>SUM(U4:U29)</f>
        <v>55888.700000000004</v>
      </c>
      <c r="U30" s="469"/>
      <c r="V30" s="470" t="s">
        <v>11</v>
      </c>
      <c r="W30" s="89" t="s">
        <v>210</v>
      </c>
      <c r="X30" s="473">
        <v>5.1</v>
      </c>
      <c r="Y30" s="473"/>
      <c r="Z30" s="474"/>
      <c r="AA30" s="469">
        <f>SUM(AB4:AB29)</f>
        <v>42305.700000000004</v>
      </c>
      <c r="AB30" s="469"/>
      <c r="AC30" s="470" t="s">
        <v>11</v>
      </c>
      <c r="AD30" s="89" t="s">
        <v>210</v>
      </c>
      <c r="AE30" s="473">
        <v>4.2</v>
      </c>
      <c r="AF30" s="473"/>
      <c r="AG30" s="484"/>
      <c r="AH30" s="530">
        <f>SUM(AI4:AI29)</f>
        <v>27624.8</v>
      </c>
      <c r="AI30" s="531"/>
      <c r="AJ30" s="102">
        <f aca="true" t="shared" si="8" ref="AJ30:AJ35">(AE30+X30+Q30+J30+C30)/5</f>
        <v>4.34</v>
      </c>
      <c r="AL30" s="126"/>
      <c r="AM30" s="126"/>
      <c r="AN30" s="126"/>
      <c r="AO30" s="126"/>
      <c r="AP30" s="126"/>
      <c r="AQ30" s="126"/>
    </row>
    <row r="31" spans="1:43" s="98" customFormat="1" ht="18.75" customHeight="1">
      <c r="A31" s="505"/>
      <c r="B31" s="90" t="s">
        <v>211</v>
      </c>
      <c r="C31" s="482">
        <v>2.2</v>
      </c>
      <c r="D31" s="482"/>
      <c r="E31" s="483"/>
      <c r="F31" s="103"/>
      <c r="G31" s="104"/>
      <c r="H31" s="471"/>
      <c r="I31" s="90" t="s">
        <v>211</v>
      </c>
      <c r="J31" s="482">
        <v>2.1</v>
      </c>
      <c r="K31" s="482"/>
      <c r="L31" s="483"/>
      <c r="M31" s="105"/>
      <c r="N31" s="106"/>
      <c r="O31" s="497"/>
      <c r="P31" s="90" t="s">
        <v>211</v>
      </c>
      <c r="Q31" s="482">
        <v>2.9</v>
      </c>
      <c r="R31" s="482"/>
      <c r="S31" s="483"/>
      <c r="T31" s="107"/>
      <c r="U31" s="104"/>
      <c r="V31" s="471"/>
      <c r="W31" s="90" t="s">
        <v>211</v>
      </c>
      <c r="X31" s="482">
        <v>2.3</v>
      </c>
      <c r="Y31" s="482"/>
      <c r="Z31" s="483"/>
      <c r="AA31" s="107"/>
      <c r="AB31" s="104"/>
      <c r="AC31" s="471"/>
      <c r="AD31" s="90" t="s">
        <v>211</v>
      </c>
      <c r="AE31" s="482">
        <v>2.3</v>
      </c>
      <c r="AF31" s="482"/>
      <c r="AG31" s="485"/>
      <c r="AH31" s="143"/>
      <c r="AI31" s="144"/>
      <c r="AJ31" s="102">
        <f t="shared" si="8"/>
        <v>2.3600000000000003</v>
      </c>
      <c r="AL31" s="126"/>
      <c r="AM31" s="126"/>
      <c r="AN31" s="126"/>
      <c r="AO31" s="126"/>
      <c r="AP31" s="126"/>
      <c r="AQ31" s="126"/>
    </row>
    <row r="32" spans="1:43" s="98" customFormat="1" ht="18.75" customHeight="1">
      <c r="A32" s="505"/>
      <c r="B32" s="91" t="s">
        <v>18</v>
      </c>
      <c r="C32" s="482">
        <v>1.1</v>
      </c>
      <c r="D32" s="482"/>
      <c r="E32" s="483"/>
      <c r="F32" s="103"/>
      <c r="G32" s="104"/>
      <c r="H32" s="471"/>
      <c r="I32" s="91" t="s">
        <v>18</v>
      </c>
      <c r="J32" s="482">
        <v>1.5</v>
      </c>
      <c r="K32" s="482"/>
      <c r="L32" s="483"/>
      <c r="M32" s="105"/>
      <c r="N32" s="106"/>
      <c r="O32" s="497"/>
      <c r="P32" s="91" t="s">
        <v>18</v>
      </c>
      <c r="Q32" s="482">
        <v>1.4</v>
      </c>
      <c r="R32" s="482"/>
      <c r="S32" s="483"/>
      <c r="T32" s="107"/>
      <c r="U32" s="104"/>
      <c r="V32" s="471"/>
      <c r="W32" s="91" t="s">
        <v>18</v>
      </c>
      <c r="X32" s="482">
        <v>1.5</v>
      </c>
      <c r="Y32" s="482"/>
      <c r="Z32" s="483"/>
      <c r="AA32" s="107"/>
      <c r="AB32" s="104"/>
      <c r="AC32" s="471"/>
      <c r="AD32" s="91" t="s">
        <v>18</v>
      </c>
      <c r="AE32" s="482">
        <v>1.1</v>
      </c>
      <c r="AF32" s="482"/>
      <c r="AG32" s="485"/>
      <c r="AH32" s="143"/>
      <c r="AI32" s="144"/>
      <c r="AJ32" s="102">
        <f t="shared" si="8"/>
        <v>1.3199999999999998</v>
      </c>
      <c r="AL32" s="126"/>
      <c r="AM32" s="126"/>
      <c r="AN32" s="126"/>
      <c r="AO32" s="126"/>
      <c r="AP32" s="126"/>
      <c r="AQ32" s="126"/>
    </row>
    <row r="33" spans="1:43" s="98" customFormat="1" ht="18.75" customHeight="1">
      <c r="A33" s="505"/>
      <c r="B33" s="91" t="s">
        <v>19</v>
      </c>
      <c r="C33" s="482">
        <v>2.5</v>
      </c>
      <c r="D33" s="482"/>
      <c r="E33" s="483"/>
      <c r="F33" s="103"/>
      <c r="G33" s="104"/>
      <c r="H33" s="471"/>
      <c r="I33" s="91" t="s">
        <v>19</v>
      </c>
      <c r="J33" s="482">
        <v>2.5</v>
      </c>
      <c r="K33" s="482"/>
      <c r="L33" s="483"/>
      <c r="M33" s="105"/>
      <c r="N33" s="106"/>
      <c r="O33" s="497"/>
      <c r="P33" s="91" t="s">
        <v>19</v>
      </c>
      <c r="Q33" s="482">
        <v>2.5</v>
      </c>
      <c r="R33" s="482"/>
      <c r="S33" s="483"/>
      <c r="T33" s="107"/>
      <c r="U33" s="104"/>
      <c r="V33" s="471"/>
      <c r="W33" s="91" t="s">
        <v>19</v>
      </c>
      <c r="X33" s="482">
        <v>2.5</v>
      </c>
      <c r="Y33" s="482"/>
      <c r="Z33" s="483"/>
      <c r="AA33" s="107"/>
      <c r="AB33" s="104"/>
      <c r="AC33" s="471"/>
      <c r="AD33" s="91" t="s">
        <v>19</v>
      </c>
      <c r="AE33" s="482">
        <v>2.5</v>
      </c>
      <c r="AF33" s="482"/>
      <c r="AG33" s="485"/>
      <c r="AH33" s="143"/>
      <c r="AI33" s="144"/>
      <c r="AJ33" s="102">
        <f t="shared" si="8"/>
        <v>2.5</v>
      </c>
      <c r="AL33" s="126"/>
      <c r="AM33" s="126"/>
      <c r="AN33" s="126"/>
      <c r="AO33" s="126"/>
      <c r="AP33" s="126"/>
      <c r="AQ33" s="126"/>
    </row>
    <row r="34" spans="1:43" s="98" customFormat="1" ht="18.75" customHeight="1">
      <c r="A34" s="505"/>
      <c r="B34" s="90" t="s">
        <v>224</v>
      </c>
      <c r="C34" s="482">
        <v>0</v>
      </c>
      <c r="D34" s="482"/>
      <c r="E34" s="483"/>
      <c r="F34" s="103"/>
      <c r="G34" s="104"/>
      <c r="H34" s="471"/>
      <c r="I34" s="90" t="s">
        <v>220</v>
      </c>
      <c r="J34" s="482">
        <v>1</v>
      </c>
      <c r="K34" s="482"/>
      <c r="L34" s="483"/>
      <c r="M34" s="109"/>
      <c r="N34" s="106"/>
      <c r="O34" s="497"/>
      <c r="P34" s="90" t="s">
        <v>224</v>
      </c>
      <c r="Q34" s="482">
        <v>0.5</v>
      </c>
      <c r="R34" s="482"/>
      <c r="S34" s="483"/>
      <c r="T34" s="107"/>
      <c r="U34" s="104"/>
      <c r="V34" s="471"/>
      <c r="W34" s="90" t="s">
        <v>212</v>
      </c>
      <c r="X34" s="482">
        <v>0</v>
      </c>
      <c r="Y34" s="482"/>
      <c r="Z34" s="483"/>
      <c r="AA34" s="107"/>
      <c r="AB34" s="104"/>
      <c r="AC34" s="471"/>
      <c r="AD34" s="90" t="s">
        <v>212</v>
      </c>
      <c r="AE34" s="482">
        <v>0</v>
      </c>
      <c r="AF34" s="482"/>
      <c r="AG34" s="485"/>
      <c r="AH34" s="143"/>
      <c r="AI34" s="144"/>
      <c r="AJ34" s="102">
        <f t="shared" si="8"/>
        <v>0.3</v>
      </c>
      <c r="AL34" s="126"/>
      <c r="AM34" s="126"/>
      <c r="AN34" s="126"/>
      <c r="AO34" s="126"/>
      <c r="AP34" s="126"/>
      <c r="AQ34" s="126"/>
    </row>
    <row r="35" spans="1:43" s="98" customFormat="1" ht="18.75" customHeight="1" thickBot="1">
      <c r="A35" s="506"/>
      <c r="B35" s="92" t="s">
        <v>213</v>
      </c>
      <c r="C35" s="488">
        <f>C30*70+C31*75+C32*25+C33*45+C34*120</f>
        <v>606</v>
      </c>
      <c r="D35" s="488"/>
      <c r="E35" s="503"/>
      <c r="F35" s="110"/>
      <c r="G35" s="111"/>
      <c r="H35" s="472"/>
      <c r="I35" s="92" t="s">
        <v>214</v>
      </c>
      <c r="J35" s="488">
        <f>J30*70+J31*75+J32*25+J33*45+J34*60</f>
        <v>654.5</v>
      </c>
      <c r="K35" s="488"/>
      <c r="L35" s="503"/>
      <c r="M35" s="112"/>
      <c r="N35" s="113"/>
      <c r="O35" s="498"/>
      <c r="P35" s="92" t="s">
        <v>214</v>
      </c>
      <c r="Q35" s="488">
        <f>Q30*70+Q31*75+Q32*25+Q33*45+Q34*120</f>
        <v>705</v>
      </c>
      <c r="R35" s="488"/>
      <c r="S35" s="503"/>
      <c r="T35" s="114"/>
      <c r="U35" s="111"/>
      <c r="V35" s="472"/>
      <c r="W35" s="92" t="s">
        <v>214</v>
      </c>
      <c r="X35" s="488">
        <f>X30*70+X31*75+X32*25+X33*45+X34*60</f>
        <v>679.5</v>
      </c>
      <c r="Y35" s="488"/>
      <c r="Z35" s="503"/>
      <c r="AA35" s="114"/>
      <c r="AB35" s="111"/>
      <c r="AC35" s="472"/>
      <c r="AD35" s="92" t="s">
        <v>214</v>
      </c>
      <c r="AE35" s="488">
        <f>AE30*70+AE31*75+AE32*25+AE33*45+AE34*60</f>
        <v>606.5</v>
      </c>
      <c r="AF35" s="488"/>
      <c r="AG35" s="489"/>
      <c r="AH35" s="145"/>
      <c r="AI35" s="146"/>
      <c r="AJ35" s="102">
        <f t="shared" si="8"/>
        <v>650.3</v>
      </c>
      <c r="AL35" s="126"/>
      <c r="AM35" s="126"/>
      <c r="AN35" s="126"/>
      <c r="AO35" s="126"/>
      <c r="AP35" s="126"/>
      <c r="AQ35" s="126"/>
    </row>
    <row r="36" spans="1:43" s="101" customFormat="1" ht="27" customHeight="1">
      <c r="A36" s="499" t="s">
        <v>225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L36" s="126"/>
      <c r="AM36" s="126"/>
      <c r="AN36" s="126"/>
      <c r="AO36" s="126"/>
      <c r="AP36" s="126"/>
      <c r="AQ36" s="126"/>
    </row>
    <row r="37" spans="1:43" s="120" customFormat="1" ht="27.75" customHeight="1" hidden="1">
      <c r="A37" s="500" t="s">
        <v>215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116"/>
      <c r="S37" s="117"/>
      <c r="T37" s="118"/>
      <c r="U37" s="118"/>
      <c r="V37" s="117"/>
      <c r="W37" s="119"/>
      <c r="X37" s="116"/>
      <c r="Y37" s="117"/>
      <c r="Z37" s="116"/>
      <c r="AA37" s="118"/>
      <c r="AB37" s="117"/>
      <c r="AC37" s="116"/>
      <c r="AD37" s="119"/>
      <c r="AE37" s="117"/>
      <c r="AF37" s="116"/>
      <c r="AG37" s="118"/>
      <c r="AH37" s="118"/>
      <c r="AI37" s="119"/>
      <c r="AL37" s="126"/>
      <c r="AM37" s="126"/>
      <c r="AN37" s="126"/>
      <c r="AO37" s="126"/>
      <c r="AP37" s="126"/>
      <c r="AQ37" s="126"/>
    </row>
  </sheetData>
  <sheetProtection selectLockedCells="1" selectUnlockedCells="1"/>
  <mergeCells count="92">
    <mergeCell ref="A1:K1"/>
    <mergeCell ref="M1:X1"/>
    <mergeCell ref="B4:C4"/>
    <mergeCell ref="A2:A4"/>
    <mergeCell ref="H2:H4"/>
    <mergeCell ref="I2:L2"/>
    <mergeCell ref="Y1:AA1"/>
    <mergeCell ref="AB1:AC1"/>
    <mergeCell ref="D4:E4"/>
    <mergeCell ref="K4:L4"/>
    <mergeCell ref="I4:J4"/>
    <mergeCell ref="P4:Q4"/>
    <mergeCell ref="R4:S4"/>
    <mergeCell ref="B2:E2"/>
    <mergeCell ref="O2:O4"/>
    <mergeCell ref="P2:S2"/>
    <mergeCell ref="AK22:AK26"/>
    <mergeCell ref="C34:E34"/>
    <mergeCell ref="AE30:AG30"/>
    <mergeCell ref="X33:Z33"/>
    <mergeCell ref="AC23:AC29"/>
    <mergeCell ref="V23:V29"/>
    <mergeCell ref="X32:Z32"/>
    <mergeCell ref="M30:N30"/>
    <mergeCell ref="Q30:S30"/>
    <mergeCell ref="O30:O35"/>
    <mergeCell ref="C35:E35"/>
    <mergeCell ref="C30:E30"/>
    <mergeCell ref="C31:E31"/>
    <mergeCell ref="C32:E32"/>
    <mergeCell ref="C33:E33"/>
    <mergeCell ref="AE32:AG32"/>
    <mergeCell ref="X30:Z30"/>
    <mergeCell ref="AA30:AB30"/>
    <mergeCell ref="AE33:AG33"/>
    <mergeCell ref="AC30:AC35"/>
    <mergeCell ref="A30:A35"/>
    <mergeCell ref="A5:A11"/>
    <mergeCell ref="A12:A18"/>
    <mergeCell ref="A19:A22"/>
    <mergeCell ref="A23:A29"/>
    <mergeCell ref="A36:AI36"/>
    <mergeCell ref="AH30:AI30"/>
    <mergeCell ref="Q31:S31"/>
    <mergeCell ref="X31:Z31"/>
    <mergeCell ref="AE31:AG31"/>
    <mergeCell ref="A37:Q37"/>
    <mergeCell ref="AE34:AG34"/>
    <mergeCell ref="J35:L35"/>
    <mergeCell ref="Q35:S35"/>
    <mergeCell ref="X35:Z35"/>
    <mergeCell ref="AE35:AG35"/>
    <mergeCell ref="Q34:S34"/>
    <mergeCell ref="X34:Z34"/>
    <mergeCell ref="V30:V35"/>
    <mergeCell ref="J31:L31"/>
    <mergeCell ref="F30:G30"/>
    <mergeCell ref="H30:H35"/>
    <mergeCell ref="J32:L32"/>
    <mergeCell ref="J30:L30"/>
    <mergeCell ref="J34:L34"/>
    <mergeCell ref="J33:L33"/>
    <mergeCell ref="V2:V4"/>
    <mergeCell ref="Q33:S33"/>
    <mergeCell ref="V19:V22"/>
    <mergeCell ref="AC19:AC22"/>
    <mergeCell ref="V13:V18"/>
    <mergeCell ref="V5:V12"/>
    <mergeCell ref="AC12:AC18"/>
    <mergeCell ref="AC5:AC11"/>
    <mergeCell ref="Q32:S32"/>
    <mergeCell ref="P15:S15"/>
    <mergeCell ref="O20:O21"/>
    <mergeCell ref="AE1:AG1"/>
    <mergeCell ref="AD2:AG2"/>
    <mergeCell ref="T30:U30"/>
    <mergeCell ref="W4:X4"/>
    <mergeCell ref="Y4:Z4"/>
    <mergeCell ref="AD4:AE4"/>
    <mergeCell ref="AF4:AG4"/>
    <mergeCell ref="W2:Z2"/>
    <mergeCell ref="AC2:AC4"/>
    <mergeCell ref="AD29:AG29"/>
    <mergeCell ref="O28:O29"/>
    <mergeCell ref="H23:H29"/>
    <mergeCell ref="H19:H22"/>
    <mergeCell ref="H5:H10"/>
    <mergeCell ref="H11:H18"/>
    <mergeCell ref="I17:L18"/>
    <mergeCell ref="O22:O27"/>
    <mergeCell ref="O5:O16"/>
    <mergeCell ref="O17:O19"/>
  </mergeCells>
  <printOptions horizontalCentered="1" verticalCentered="1"/>
  <pageMargins left="0.15748031496062992" right="0.15748031496062992" top="0.1968503937007874" bottom="0.07874015748031496" header="0.5118110236220472" footer="0.03937007874015748"/>
  <pageSetup horizontalDpi="600" verticalDpi="600" orientation="landscape" paperSize="8" scale="12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60" zoomScaleNormal="60" zoomScalePageLayoutView="0" workbookViewId="0" topLeftCell="A4">
      <selection activeCell="B18" sqref="B18"/>
    </sheetView>
  </sheetViews>
  <sheetFormatPr defaultColWidth="9.00390625" defaultRowHeight="16.5"/>
  <cols>
    <col min="1" max="5" width="32.00390625" style="329" customWidth="1"/>
    <col min="6" max="6" width="33.875" style="285" customWidth="1"/>
    <col min="7" max="7" width="10.375" style="330" customWidth="1"/>
    <col min="8" max="8" width="11.25390625" style="330" customWidth="1"/>
    <col min="9" max="16384" width="9.00390625" style="268" customWidth="1"/>
  </cols>
  <sheetData>
    <row r="1" spans="1:11" ht="89.25" customHeight="1">
      <c r="A1" s="553" t="s">
        <v>410</v>
      </c>
      <c r="B1" s="553"/>
      <c r="C1" s="553"/>
      <c r="D1" s="553"/>
      <c r="E1" s="553"/>
      <c r="F1" s="553"/>
      <c r="G1" s="553"/>
      <c r="H1" s="553"/>
      <c r="K1" s="269" t="s">
        <v>271</v>
      </c>
    </row>
    <row r="2" spans="1:30" s="273" customFormat="1" ht="35.25" customHeight="1">
      <c r="A2" s="270" t="s">
        <v>514</v>
      </c>
      <c r="B2" s="271" t="s">
        <v>12</v>
      </c>
      <c r="C2" s="272" t="s">
        <v>13</v>
      </c>
      <c r="D2" s="271" t="s">
        <v>14</v>
      </c>
      <c r="E2" s="271" t="s">
        <v>15</v>
      </c>
      <c r="F2" s="554" t="s">
        <v>16</v>
      </c>
      <c r="G2" s="554"/>
      <c r="H2" s="555"/>
      <c r="I2" s="406"/>
      <c r="J2" s="406"/>
      <c r="K2" s="407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</row>
    <row r="3" spans="1:30" s="279" customFormat="1" ht="35.25" customHeight="1">
      <c r="A3" s="336">
        <v>45229</v>
      </c>
      <c r="B3" s="345">
        <v>45230</v>
      </c>
      <c r="C3" s="275">
        <v>1</v>
      </c>
      <c r="D3" s="276">
        <f>C3+1</f>
        <v>2</v>
      </c>
      <c r="E3" s="277">
        <f>D3+1</f>
        <v>3</v>
      </c>
      <c r="F3" s="278" t="s">
        <v>17</v>
      </c>
      <c r="G3" s="551">
        <f>'第一周'!AJ35</f>
        <v>650.7</v>
      </c>
      <c r="H3" s="552"/>
      <c r="I3" s="408"/>
      <c r="J3" s="408"/>
      <c r="K3" s="409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</row>
    <row r="4" spans="1:30" s="273" customFormat="1" ht="35.25" customHeight="1">
      <c r="A4" s="280" t="s">
        <v>273</v>
      </c>
      <c r="B4" s="281" t="s">
        <v>206</v>
      </c>
      <c r="C4" s="282" t="s">
        <v>357</v>
      </c>
      <c r="D4" s="283" t="s">
        <v>206</v>
      </c>
      <c r="E4" s="284" t="s">
        <v>206</v>
      </c>
      <c r="F4" s="285" t="s">
        <v>199</v>
      </c>
      <c r="G4" s="545">
        <f>'第一周'!AJ30</f>
        <v>4.26</v>
      </c>
      <c r="H4" s="54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</row>
    <row r="5" spans="1:30" s="273" customFormat="1" ht="35.25" customHeight="1">
      <c r="A5" s="286" t="s">
        <v>420</v>
      </c>
      <c r="B5" s="287" t="s">
        <v>446</v>
      </c>
      <c r="C5" s="288" t="s">
        <v>386</v>
      </c>
      <c r="D5" s="346" t="s">
        <v>366</v>
      </c>
      <c r="E5" s="290" t="s">
        <v>450</v>
      </c>
      <c r="F5" s="285" t="s">
        <v>200</v>
      </c>
      <c r="G5" s="545">
        <f>'第一周'!AJ31</f>
        <v>2.3999999999999995</v>
      </c>
      <c r="H5" s="54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</row>
    <row r="6" spans="1:30" s="273" customFormat="1" ht="35.25" customHeight="1">
      <c r="A6" s="280" t="s">
        <v>421</v>
      </c>
      <c r="B6" s="309" t="s">
        <v>422</v>
      </c>
      <c r="C6" s="288" t="s">
        <v>358</v>
      </c>
      <c r="D6" s="292" t="s">
        <v>258</v>
      </c>
      <c r="E6" s="293" t="s">
        <v>275</v>
      </c>
      <c r="F6" s="285" t="s">
        <v>18</v>
      </c>
      <c r="G6" s="545">
        <f>'第一周'!AJ32</f>
        <v>1.6</v>
      </c>
      <c r="H6" s="546"/>
      <c r="I6" s="406"/>
      <c r="J6" s="406"/>
      <c r="K6" s="410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</row>
    <row r="7" spans="1:30" s="273" customFormat="1" ht="35.25" customHeight="1">
      <c r="A7" s="295" t="s">
        <v>423</v>
      </c>
      <c r="B7" s="291" t="s">
        <v>276</v>
      </c>
      <c r="C7" s="344" t="s">
        <v>277</v>
      </c>
      <c r="D7" s="292" t="s">
        <v>276</v>
      </c>
      <c r="E7" s="280" t="s">
        <v>276</v>
      </c>
      <c r="F7" s="285" t="s">
        <v>19</v>
      </c>
      <c r="G7" s="545">
        <f>'第一周'!AJ33</f>
        <v>2.5</v>
      </c>
      <c r="H7" s="546"/>
      <c r="I7" s="406"/>
      <c r="J7" s="406"/>
      <c r="K7" s="406"/>
      <c r="L7" s="406"/>
      <c r="M7" s="406"/>
      <c r="N7" s="406"/>
      <c r="O7" s="410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</row>
    <row r="8" spans="1:30" s="273" customFormat="1" ht="35.25" customHeight="1">
      <c r="A8" s="335" t="s">
        <v>424</v>
      </c>
      <c r="B8" s="343" t="s">
        <v>305</v>
      </c>
      <c r="C8" s="297"/>
      <c r="D8" s="294" t="s">
        <v>414</v>
      </c>
      <c r="E8" s="298" t="s">
        <v>360</v>
      </c>
      <c r="F8" s="299" t="s">
        <v>20</v>
      </c>
      <c r="G8" s="411">
        <v>0.2</v>
      </c>
      <c r="H8" s="412">
        <v>0</v>
      </c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</row>
    <row r="9" spans="1:30" s="279" customFormat="1" ht="35.25" customHeight="1">
      <c r="A9" s="300">
        <v>6</v>
      </c>
      <c r="B9" s="300">
        <f>A9+1</f>
        <v>7</v>
      </c>
      <c r="C9" s="310">
        <f>C3+7</f>
        <v>8</v>
      </c>
      <c r="D9" s="275">
        <f>D3+7</f>
        <v>9</v>
      </c>
      <c r="E9" s="276">
        <f>E3+7</f>
        <v>10</v>
      </c>
      <c r="F9" s="278" t="s">
        <v>17</v>
      </c>
      <c r="G9" s="551">
        <f>'[1]第二周'!AJ35</f>
        <v>694.7</v>
      </c>
      <c r="H9" s="552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</row>
    <row r="10" spans="1:30" s="273" customFormat="1" ht="35.25" customHeight="1">
      <c r="A10" s="302" t="s">
        <v>208</v>
      </c>
      <c r="B10" s="303" t="s">
        <v>243</v>
      </c>
      <c r="C10" s="304" t="s">
        <v>471</v>
      </c>
      <c r="D10" s="280" t="s">
        <v>348</v>
      </c>
      <c r="E10" s="292" t="s">
        <v>206</v>
      </c>
      <c r="F10" s="285" t="s">
        <v>199</v>
      </c>
      <c r="G10" s="545">
        <f>'[1]第二周'!AJ30</f>
        <v>5.16</v>
      </c>
      <c r="H10" s="54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</row>
    <row r="11" spans="1:30" s="273" customFormat="1" ht="35.25" customHeight="1">
      <c r="A11" s="289" t="s">
        <v>279</v>
      </c>
      <c r="B11" s="305" t="s">
        <v>416</v>
      </c>
      <c r="C11" s="325" t="s">
        <v>472</v>
      </c>
      <c r="D11" s="306" t="s">
        <v>515</v>
      </c>
      <c r="E11" s="307" t="s">
        <v>245</v>
      </c>
      <c r="F11" s="285" t="s">
        <v>200</v>
      </c>
      <c r="G11" s="545">
        <f>'[1]第二周'!AJ31</f>
        <v>2.26</v>
      </c>
      <c r="H11" s="546"/>
      <c r="I11" s="406"/>
      <c r="J11" s="406"/>
      <c r="K11" s="410"/>
      <c r="L11" s="406"/>
      <c r="M11" s="409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</row>
    <row r="12" spans="1:30" s="273" customFormat="1" ht="35.25" customHeight="1">
      <c r="A12" s="338" t="s">
        <v>498</v>
      </c>
      <c r="B12" s="309" t="s">
        <v>428</v>
      </c>
      <c r="C12" s="280" t="s">
        <v>274</v>
      </c>
      <c r="D12" s="309" t="s">
        <v>497</v>
      </c>
      <c r="E12" s="293" t="s">
        <v>427</v>
      </c>
      <c r="F12" s="285" t="s">
        <v>18</v>
      </c>
      <c r="G12" s="545">
        <f>'[1]第二周'!AJ32</f>
        <v>1.58</v>
      </c>
      <c r="H12" s="546"/>
      <c r="I12" s="406"/>
      <c r="J12" s="406"/>
      <c r="K12" s="406"/>
      <c r="L12" s="406"/>
      <c r="M12" s="413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</row>
    <row r="13" spans="1:30" s="273" customFormat="1" ht="35.25" customHeight="1">
      <c r="A13" s="280" t="s">
        <v>276</v>
      </c>
      <c r="B13" s="291" t="s">
        <v>276</v>
      </c>
      <c r="C13" s="280" t="s">
        <v>516</v>
      </c>
      <c r="D13" s="280" t="s">
        <v>276</v>
      </c>
      <c r="E13" s="292" t="s">
        <v>276</v>
      </c>
      <c r="F13" s="285" t="s">
        <v>19</v>
      </c>
      <c r="G13" s="545">
        <f>'[1]第二周'!AJ33</f>
        <v>2.5</v>
      </c>
      <c r="H13" s="546"/>
      <c r="I13" s="406"/>
      <c r="J13" s="406"/>
      <c r="K13" s="410"/>
      <c r="L13" s="406"/>
      <c r="M13" s="409"/>
      <c r="N13" s="406"/>
      <c r="O13" s="406"/>
      <c r="P13" s="406"/>
      <c r="Q13" s="410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</row>
    <row r="14" spans="1:30" s="273" customFormat="1" ht="35.25" customHeight="1">
      <c r="A14" s="414" t="s">
        <v>367</v>
      </c>
      <c r="B14" s="298" t="s">
        <v>503</v>
      </c>
      <c r="C14" s="415" t="s">
        <v>340</v>
      </c>
      <c r="D14" s="308" t="s">
        <v>359</v>
      </c>
      <c r="E14" s="416" t="s">
        <v>246</v>
      </c>
      <c r="F14" s="299" t="s">
        <v>20</v>
      </c>
      <c r="G14" s="411">
        <f>'[1]第二周'!AJ34</f>
        <v>0.2</v>
      </c>
      <c r="H14" s="412">
        <v>0.1</v>
      </c>
      <c r="I14" s="406"/>
      <c r="J14" s="406"/>
      <c r="K14" s="406"/>
      <c r="L14" s="410"/>
      <c r="M14" s="410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</row>
    <row r="15" spans="1:30" s="279" customFormat="1" ht="35.25" customHeight="1">
      <c r="A15" s="300">
        <f>A9+7</f>
        <v>13</v>
      </c>
      <c r="B15" s="274">
        <f>B9+7</f>
        <v>14</v>
      </c>
      <c r="C15" s="310">
        <f>C9+7</f>
        <v>15</v>
      </c>
      <c r="D15" s="276">
        <f>D9+7</f>
        <v>16</v>
      </c>
      <c r="E15" s="277">
        <f>E9+7</f>
        <v>17</v>
      </c>
      <c r="F15" s="278" t="s">
        <v>17</v>
      </c>
      <c r="G15" s="551">
        <f>'[2]第三周'!AJ35</f>
        <v>610.5</v>
      </c>
      <c r="H15" s="552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</row>
    <row r="16" spans="1:30" s="273" customFormat="1" ht="35.25" customHeight="1">
      <c r="A16" s="291" t="s">
        <v>442</v>
      </c>
      <c r="B16" s="281" t="s">
        <v>206</v>
      </c>
      <c r="C16" s="280" t="s">
        <v>247</v>
      </c>
      <c r="D16" s="283" t="s">
        <v>207</v>
      </c>
      <c r="E16" s="283" t="s">
        <v>206</v>
      </c>
      <c r="F16" s="311" t="s">
        <v>199</v>
      </c>
      <c r="G16" s="545">
        <f>'[2]第三周'!AJ30</f>
        <v>4.2</v>
      </c>
      <c r="H16" s="546"/>
      <c r="I16" s="406"/>
      <c r="J16" s="406"/>
      <c r="K16" s="409"/>
      <c r="L16" s="406"/>
      <c r="M16" s="406"/>
      <c r="N16" s="406"/>
      <c r="O16" s="409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</row>
    <row r="17" spans="1:30" s="273" customFormat="1" ht="35.25" customHeight="1">
      <c r="A17" s="339" t="s">
        <v>281</v>
      </c>
      <c r="B17" s="332" t="s">
        <v>418</v>
      </c>
      <c r="C17" s="318" t="s">
        <v>432</v>
      </c>
      <c r="D17" s="313" t="s">
        <v>253</v>
      </c>
      <c r="E17" s="334" t="s">
        <v>517</v>
      </c>
      <c r="F17" s="285" t="s">
        <v>200</v>
      </c>
      <c r="G17" s="545">
        <f>'[2]第三周'!AJ31</f>
        <v>2.12</v>
      </c>
      <c r="H17" s="546"/>
      <c r="I17" s="406"/>
      <c r="J17" s="406"/>
      <c r="K17" s="406"/>
      <c r="L17" s="549"/>
      <c r="M17" s="550"/>
      <c r="N17" s="406"/>
      <c r="O17" s="410"/>
      <c r="P17" s="406"/>
      <c r="Q17" s="406"/>
      <c r="R17" s="406"/>
      <c r="S17" s="406"/>
      <c r="T17" s="406"/>
      <c r="U17" s="417"/>
      <c r="V17" s="406"/>
      <c r="W17" s="406"/>
      <c r="X17" s="406"/>
      <c r="Y17" s="406"/>
      <c r="Z17" s="406"/>
      <c r="AA17" s="406"/>
      <c r="AB17" s="406"/>
      <c r="AC17" s="406"/>
      <c r="AD17" s="406"/>
    </row>
    <row r="18" spans="1:30" s="273" customFormat="1" ht="35.25" customHeight="1">
      <c r="A18" s="288" t="s">
        <v>524</v>
      </c>
      <c r="B18" s="293" t="s">
        <v>525</v>
      </c>
      <c r="C18" s="284" t="s">
        <v>274</v>
      </c>
      <c r="D18" s="280" t="s">
        <v>522</v>
      </c>
      <c r="E18" s="331" t="s">
        <v>417</v>
      </c>
      <c r="F18" s="285" t="s">
        <v>18</v>
      </c>
      <c r="G18" s="545">
        <f>'[2]第三周'!AJ32</f>
        <v>1.3199999999999998</v>
      </c>
      <c r="H18" s="546"/>
      <c r="I18" s="406"/>
      <c r="J18" s="406"/>
      <c r="K18" s="418"/>
      <c r="L18" s="406"/>
      <c r="M18" s="406"/>
      <c r="N18" s="406"/>
      <c r="O18" s="409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</row>
    <row r="19" spans="1:30" s="273" customFormat="1" ht="35.25" customHeight="1">
      <c r="A19" s="280" t="s">
        <v>276</v>
      </c>
      <c r="B19" s="280" t="s">
        <v>276</v>
      </c>
      <c r="C19" s="419" t="s">
        <v>412</v>
      </c>
      <c r="D19" s="280" t="s">
        <v>276</v>
      </c>
      <c r="E19" s="280" t="s">
        <v>276</v>
      </c>
      <c r="F19" s="285" t="s">
        <v>19</v>
      </c>
      <c r="G19" s="545">
        <f>'[2]第三周'!AJ33</f>
        <v>2.5</v>
      </c>
      <c r="H19" s="546"/>
      <c r="I19" s="406"/>
      <c r="J19" s="406"/>
      <c r="K19" s="409"/>
      <c r="L19" s="406"/>
      <c r="M19" s="406"/>
      <c r="N19" s="409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</row>
    <row r="20" spans="1:30" s="273" customFormat="1" ht="35.25" customHeight="1">
      <c r="A20" s="420" t="s">
        <v>280</v>
      </c>
      <c r="B20" s="351" t="s">
        <v>453</v>
      </c>
      <c r="C20" s="314" t="s">
        <v>277</v>
      </c>
      <c r="D20" s="421" t="s">
        <v>518</v>
      </c>
      <c r="E20" s="298" t="s">
        <v>426</v>
      </c>
      <c r="F20" s="315" t="s">
        <v>20</v>
      </c>
      <c r="G20" s="422">
        <v>0.2</v>
      </c>
      <c r="H20" s="423">
        <v>0</v>
      </c>
      <c r="I20" s="406"/>
      <c r="J20" s="406"/>
      <c r="K20" s="409"/>
      <c r="L20" s="410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</row>
    <row r="21" spans="1:30" s="273" customFormat="1" ht="35.25" customHeight="1">
      <c r="A21" s="300">
        <f>A15+7</f>
        <v>20</v>
      </c>
      <c r="B21" s="274">
        <f>B15+7</f>
        <v>21</v>
      </c>
      <c r="C21" s="275">
        <f>C15+7</f>
        <v>22</v>
      </c>
      <c r="D21" s="276">
        <f>D15+7</f>
        <v>23</v>
      </c>
      <c r="E21" s="277">
        <f>E15+7</f>
        <v>24</v>
      </c>
      <c r="F21" s="278" t="s">
        <v>17</v>
      </c>
      <c r="G21" s="556">
        <f>'[2]第四周'!AJ35</f>
        <v>644.7</v>
      </c>
      <c r="H21" s="557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</row>
    <row r="22" spans="1:30" s="273" customFormat="1" ht="35.25" customHeight="1">
      <c r="A22" s="302" t="s">
        <v>443</v>
      </c>
      <c r="B22" s="281" t="s">
        <v>206</v>
      </c>
      <c r="C22" s="295" t="s">
        <v>293</v>
      </c>
      <c r="D22" s="280" t="s">
        <v>278</v>
      </c>
      <c r="E22" s="284" t="s">
        <v>206</v>
      </c>
      <c r="F22" s="285" t="s">
        <v>199</v>
      </c>
      <c r="G22" s="545">
        <f>'[2]第四周'!AJ30</f>
        <v>4.34</v>
      </c>
      <c r="H22" s="546"/>
      <c r="I22" s="406"/>
      <c r="J22" s="406"/>
      <c r="K22" s="409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</row>
    <row r="23" spans="1:30" s="273" customFormat="1" ht="35.25" customHeight="1">
      <c r="A23" s="316" t="s">
        <v>248</v>
      </c>
      <c r="B23" s="317" t="s">
        <v>519</v>
      </c>
      <c r="C23" s="318" t="s">
        <v>294</v>
      </c>
      <c r="D23" s="312" t="s">
        <v>429</v>
      </c>
      <c r="E23" s="319" t="s">
        <v>282</v>
      </c>
      <c r="F23" s="285" t="s">
        <v>200</v>
      </c>
      <c r="G23" s="545">
        <f>'[2]第四周'!AJ31</f>
        <v>2.32</v>
      </c>
      <c r="H23" s="54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</row>
    <row r="24" spans="1:30" s="273" customFormat="1" ht="35.25" customHeight="1">
      <c r="A24" s="280" t="s">
        <v>344</v>
      </c>
      <c r="B24" s="309" t="s">
        <v>343</v>
      </c>
      <c r="C24" s="280" t="s">
        <v>272</v>
      </c>
      <c r="D24" s="320" t="s">
        <v>260</v>
      </c>
      <c r="E24" s="293" t="s">
        <v>249</v>
      </c>
      <c r="F24" s="285" t="s">
        <v>18</v>
      </c>
      <c r="G24" s="545">
        <f>'[2]第四周'!AJ32</f>
        <v>1.28</v>
      </c>
      <c r="H24" s="546"/>
      <c r="I24" s="406"/>
      <c r="J24" s="406"/>
      <c r="K24" s="410"/>
      <c r="L24" s="406"/>
      <c r="M24" s="406"/>
      <c r="N24" s="406"/>
      <c r="O24" s="410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</row>
    <row r="25" spans="1:30" s="273" customFormat="1" ht="35.25" customHeight="1">
      <c r="A25" s="280" t="s">
        <v>276</v>
      </c>
      <c r="B25" s="291" t="s">
        <v>276</v>
      </c>
      <c r="C25" s="424" t="s">
        <v>520</v>
      </c>
      <c r="D25" s="292" t="s">
        <v>276</v>
      </c>
      <c r="E25" s="280" t="s">
        <v>276</v>
      </c>
      <c r="F25" s="285" t="s">
        <v>19</v>
      </c>
      <c r="G25" s="545">
        <f>'[2]第四周'!AJ33</f>
        <v>2.5</v>
      </c>
      <c r="H25" s="54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</row>
    <row r="26" spans="1:30" s="273" customFormat="1" ht="35.25" customHeight="1">
      <c r="A26" s="335" t="s">
        <v>285</v>
      </c>
      <c r="B26" s="425" t="s">
        <v>284</v>
      </c>
      <c r="C26" s="426" t="s">
        <v>354</v>
      </c>
      <c r="D26" s="321" t="s">
        <v>283</v>
      </c>
      <c r="E26" s="427" t="s">
        <v>504</v>
      </c>
      <c r="F26" s="299" t="s">
        <v>20</v>
      </c>
      <c r="G26" s="411">
        <v>0.2</v>
      </c>
      <c r="H26" s="412">
        <v>0.1</v>
      </c>
      <c r="I26" s="406"/>
      <c r="J26" s="406"/>
      <c r="K26" s="406"/>
      <c r="L26" s="406"/>
      <c r="M26" s="406"/>
      <c r="N26" s="428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</row>
    <row r="27" spans="1:30" s="273" customFormat="1" ht="35.25" customHeight="1">
      <c r="A27" s="301">
        <f>A21+7</f>
        <v>27</v>
      </c>
      <c r="B27" s="301">
        <f>B21+7</f>
        <v>28</v>
      </c>
      <c r="C27" s="275">
        <f>C21+7</f>
        <v>29</v>
      </c>
      <c r="D27" s="275">
        <f>D21+7</f>
        <v>30</v>
      </c>
      <c r="E27" s="322"/>
      <c r="F27" s="278" t="s">
        <v>17</v>
      </c>
      <c r="G27" s="551">
        <f>G28*70+G29*75+G30*25+G31*45</f>
        <v>600</v>
      </c>
      <c r="H27" s="552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</row>
    <row r="28" spans="1:30" s="273" customFormat="1" ht="35.25" customHeight="1">
      <c r="A28" s="280" t="s">
        <v>273</v>
      </c>
      <c r="B28" s="303" t="s">
        <v>243</v>
      </c>
      <c r="C28" s="283" t="s">
        <v>439</v>
      </c>
      <c r="D28" s="283" t="s">
        <v>438</v>
      </c>
      <c r="E28" s="323"/>
      <c r="F28" s="285" t="s">
        <v>199</v>
      </c>
      <c r="G28" s="545">
        <v>4</v>
      </c>
      <c r="H28" s="54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29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</row>
    <row r="29" spans="1:30" s="273" customFormat="1" ht="35.25" customHeight="1">
      <c r="A29" s="324" t="s">
        <v>250</v>
      </c>
      <c r="B29" s="325" t="s">
        <v>431</v>
      </c>
      <c r="C29" s="333" t="s">
        <v>419</v>
      </c>
      <c r="D29" s="287" t="s">
        <v>521</v>
      </c>
      <c r="E29" s="326"/>
      <c r="F29" s="285" t="s">
        <v>200</v>
      </c>
      <c r="G29" s="545">
        <v>2.2</v>
      </c>
      <c r="H29" s="54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30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</row>
    <row r="30" spans="1:30" s="273" customFormat="1" ht="35.25" customHeight="1">
      <c r="A30" s="320" t="s">
        <v>413</v>
      </c>
      <c r="B30" s="309" t="s">
        <v>345</v>
      </c>
      <c r="C30" s="280" t="s">
        <v>274</v>
      </c>
      <c r="D30" s="291" t="s">
        <v>415</v>
      </c>
      <c r="E30" s="326"/>
      <c r="F30" s="285" t="s">
        <v>18</v>
      </c>
      <c r="G30" s="545">
        <v>1.7</v>
      </c>
      <c r="H30" s="54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9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</row>
    <row r="31" spans="1:30" s="273" customFormat="1" ht="35.25" customHeight="1">
      <c r="A31" s="280" t="s">
        <v>276</v>
      </c>
      <c r="B31" s="320" t="s">
        <v>346</v>
      </c>
      <c r="C31" s="419" t="s">
        <v>411</v>
      </c>
      <c r="D31" s="291" t="s">
        <v>276</v>
      </c>
      <c r="E31" s="326"/>
      <c r="F31" s="285" t="s">
        <v>19</v>
      </c>
      <c r="G31" s="545">
        <v>2.5</v>
      </c>
      <c r="H31" s="546"/>
      <c r="I31" s="406"/>
      <c r="J31" s="406"/>
      <c r="K31" s="406"/>
      <c r="L31" s="406"/>
      <c r="M31" s="406"/>
      <c r="N31" s="406"/>
      <c r="O31" s="410"/>
      <c r="P31" s="406"/>
      <c r="Q31" s="406"/>
      <c r="R31" s="406"/>
      <c r="S31" s="431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</row>
    <row r="32" spans="1:30" s="273" customFormat="1" ht="35.25" customHeight="1">
      <c r="A32" s="340" t="s">
        <v>441</v>
      </c>
      <c r="B32" s="373" t="s">
        <v>509</v>
      </c>
      <c r="C32" s="342" t="s">
        <v>440</v>
      </c>
      <c r="D32" s="420" t="s">
        <v>244</v>
      </c>
      <c r="E32" s="297"/>
      <c r="F32" s="315" t="s">
        <v>20</v>
      </c>
      <c r="G32" s="422">
        <v>0.2</v>
      </c>
      <c r="H32" s="423">
        <v>0</v>
      </c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</row>
    <row r="33" spans="1:8" s="328" customFormat="1" ht="35.25" customHeight="1">
      <c r="A33" s="327"/>
      <c r="B33" s="327"/>
      <c r="C33" s="327"/>
      <c r="D33" s="548" t="s">
        <v>286</v>
      </c>
      <c r="E33" s="548"/>
      <c r="F33" s="548"/>
      <c r="G33" s="548"/>
      <c r="H33" s="548"/>
    </row>
    <row r="34" ht="35.25">
      <c r="P34" s="296" t="s">
        <v>285</v>
      </c>
    </row>
    <row r="35" ht="35.25"/>
    <row r="36" ht="35.25"/>
    <row r="37" ht="35.25"/>
    <row r="38" ht="35.25"/>
    <row r="39" ht="35.25"/>
    <row r="40" ht="35.25"/>
    <row r="41" ht="35.25"/>
    <row r="42" ht="35.25"/>
    <row r="43" ht="35.25"/>
    <row r="44" ht="22.5" customHeight="1"/>
    <row r="45" spans="1:8" ht="48" customHeight="1">
      <c r="A45" s="547" t="s">
        <v>347</v>
      </c>
      <c r="B45" s="547"/>
      <c r="C45" s="547"/>
      <c r="D45" s="547"/>
      <c r="E45" s="547"/>
      <c r="F45" s="547"/>
      <c r="G45" s="547"/>
      <c r="H45" s="547"/>
    </row>
    <row r="46" spans="1:8" ht="69" customHeight="1">
      <c r="A46" s="542" t="s">
        <v>425</v>
      </c>
      <c r="B46" s="542"/>
      <c r="C46" s="542"/>
      <c r="D46" s="542"/>
      <c r="E46" s="542"/>
      <c r="F46" s="542"/>
      <c r="G46" s="542"/>
      <c r="H46" s="542"/>
    </row>
    <row r="47" spans="1:8" ht="42" customHeight="1">
      <c r="A47" s="543" t="s">
        <v>499</v>
      </c>
      <c r="B47" s="543"/>
      <c r="C47" s="543"/>
      <c r="D47" s="543"/>
      <c r="E47" s="543"/>
      <c r="F47" s="543"/>
      <c r="G47" s="543"/>
      <c r="H47" s="543"/>
    </row>
    <row r="48" spans="1:256" s="337" customFormat="1" ht="37.5" customHeight="1">
      <c r="A48" s="544" t="s">
        <v>444</v>
      </c>
      <c r="B48" s="544"/>
      <c r="C48" s="544"/>
      <c r="D48" s="544"/>
      <c r="E48" s="544"/>
      <c r="F48" s="544"/>
      <c r="G48" s="544"/>
      <c r="H48" s="544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268"/>
      <c r="EO48" s="268"/>
      <c r="EP48" s="268"/>
      <c r="EQ48" s="268"/>
      <c r="ER48" s="268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  <c r="FF48" s="268"/>
      <c r="FG48" s="268"/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  <c r="FT48" s="268"/>
      <c r="FU48" s="268"/>
      <c r="FV48" s="268"/>
      <c r="FW48" s="268"/>
      <c r="FX48" s="268"/>
      <c r="FY48" s="268"/>
      <c r="FZ48" s="268"/>
      <c r="GA48" s="268"/>
      <c r="GB48" s="268"/>
      <c r="GC48" s="268"/>
      <c r="GD48" s="268"/>
      <c r="GE48" s="268"/>
      <c r="GF48" s="268"/>
      <c r="GG48" s="268"/>
      <c r="GH48" s="268"/>
      <c r="GI48" s="268"/>
      <c r="GJ48" s="268"/>
      <c r="GK48" s="268"/>
      <c r="GL48" s="268"/>
      <c r="GM48" s="268"/>
      <c r="GN48" s="268"/>
      <c r="GO48" s="268"/>
      <c r="GP48" s="268"/>
      <c r="GQ48" s="268"/>
      <c r="GR48" s="268"/>
      <c r="GS48" s="268"/>
      <c r="GT48" s="268"/>
      <c r="GU48" s="268"/>
      <c r="GV48" s="268"/>
      <c r="GW48" s="268"/>
      <c r="GX48" s="268"/>
      <c r="GY48" s="268"/>
      <c r="GZ48" s="268"/>
      <c r="HA48" s="268"/>
      <c r="HB48" s="268"/>
      <c r="HC48" s="268"/>
      <c r="HD48" s="268"/>
      <c r="HE48" s="268"/>
      <c r="HF48" s="268"/>
      <c r="HG48" s="268"/>
      <c r="HH48" s="268"/>
      <c r="HI48" s="268"/>
      <c r="HJ48" s="268"/>
      <c r="HK48" s="268"/>
      <c r="HL48" s="268"/>
      <c r="HM48" s="268"/>
      <c r="HN48" s="268"/>
      <c r="HO48" s="268"/>
      <c r="HP48" s="268"/>
      <c r="HQ48" s="268"/>
      <c r="HR48" s="268"/>
      <c r="HS48" s="268"/>
      <c r="HT48" s="268"/>
      <c r="HU48" s="268"/>
      <c r="HV48" s="268"/>
      <c r="HW48" s="268"/>
      <c r="HX48" s="268"/>
      <c r="HY48" s="268"/>
      <c r="HZ48" s="268"/>
      <c r="IA48" s="268"/>
      <c r="IB48" s="268"/>
      <c r="IC48" s="268"/>
      <c r="ID48" s="268"/>
      <c r="IE48" s="268"/>
      <c r="IF48" s="268"/>
      <c r="IG48" s="268"/>
      <c r="IH48" s="268"/>
      <c r="II48" s="268"/>
      <c r="IJ48" s="268"/>
      <c r="IK48" s="268"/>
      <c r="IL48" s="268"/>
      <c r="IM48" s="268"/>
      <c r="IN48" s="268"/>
      <c r="IO48" s="268"/>
      <c r="IP48" s="268"/>
      <c r="IQ48" s="268"/>
      <c r="IR48" s="268"/>
      <c r="IS48" s="268"/>
      <c r="IT48" s="268"/>
      <c r="IU48" s="268"/>
      <c r="IV48" s="268"/>
    </row>
  </sheetData>
  <sheetProtection selectLockedCells="1" selectUnlockedCells="1"/>
  <mergeCells count="33">
    <mergeCell ref="G10:H10"/>
    <mergeCell ref="G11:H11"/>
    <mergeCell ref="G3:H3"/>
    <mergeCell ref="G4:H4"/>
    <mergeCell ref="G5:H5"/>
    <mergeCell ref="G6:H6"/>
    <mergeCell ref="G7:H7"/>
    <mergeCell ref="G9:H9"/>
    <mergeCell ref="G12:H12"/>
    <mergeCell ref="G13:H13"/>
    <mergeCell ref="G15:H15"/>
    <mergeCell ref="A1:H1"/>
    <mergeCell ref="F2:H2"/>
    <mergeCell ref="G30:H30"/>
    <mergeCell ref="G21:H21"/>
    <mergeCell ref="G22:H22"/>
    <mergeCell ref="G23:H23"/>
    <mergeCell ref="G24:H24"/>
    <mergeCell ref="G16:H16"/>
    <mergeCell ref="G17:H17"/>
    <mergeCell ref="L17:M17"/>
    <mergeCell ref="G27:H27"/>
    <mergeCell ref="G28:H28"/>
    <mergeCell ref="G18:H18"/>
    <mergeCell ref="G19:H19"/>
    <mergeCell ref="A46:H46"/>
    <mergeCell ref="A47:H47"/>
    <mergeCell ref="A48:H48"/>
    <mergeCell ref="G31:H31"/>
    <mergeCell ref="G29:H29"/>
    <mergeCell ref="G25:H25"/>
    <mergeCell ref="A45:H45"/>
    <mergeCell ref="D33:H33"/>
  </mergeCells>
  <printOptions/>
  <pageMargins left="0.2362204724409449" right="0.2362204724409449" top="0.1968503937007874" bottom="0.1968503937007874" header="0.5118110236220472" footer="0.2362204724409449"/>
  <pageSetup horizontalDpi="600" verticalDpi="600" orientation="landscape" paperSize="8" scale="95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75" zoomScaleSheetLayoutView="75" zoomScalePageLayoutView="0" workbookViewId="0" topLeftCell="A1">
      <selection activeCell="H24" sqref="H24"/>
    </sheetView>
  </sheetViews>
  <sheetFormatPr defaultColWidth="9.00390625" defaultRowHeight="16.5"/>
  <cols>
    <col min="1" max="1" width="14.25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50390625" style="1" customWidth="1"/>
    <col min="12" max="12" width="11.375" style="1" customWidth="1"/>
    <col min="13" max="13" width="12.375" style="1" customWidth="1"/>
    <col min="14" max="14" width="10.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21</v>
      </c>
      <c r="B2" s="3" t="s">
        <v>22</v>
      </c>
      <c r="C2" s="4">
        <v>112</v>
      </c>
      <c r="D2" s="5" t="s">
        <v>23</v>
      </c>
      <c r="E2" s="4">
        <v>10</v>
      </c>
      <c r="F2" s="5" t="s">
        <v>24</v>
      </c>
      <c r="G2" s="4">
        <v>30</v>
      </c>
      <c r="H2" s="5" t="s">
        <v>25</v>
      </c>
      <c r="I2" s="5" t="s">
        <v>26</v>
      </c>
      <c r="J2" s="5" t="s">
        <v>27</v>
      </c>
      <c r="K2" s="6" t="s">
        <v>28</v>
      </c>
      <c r="L2" s="592" t="s">
        <v>29</v>
      </c>
      <c r="M2" s="593"/>
      <c r="N2" s="594"/>
      <c r="O2" s="7"/>
      <c r="P2" s="8"/>
    </row>
    <row r="3" spans="1:15" s="9" customFormat="1" ht="24" customHeight="1" thickBot="1">
      <c r="A3" s="10" t="s">
        <v>30</v>
      </c>
      <c r="B3" s="632" t="s">
        <v>31</v>
      </c>
      <c r="C3" s="596"/>
      <c r="D3" s="596"/>
      <c r="E3" s="633">
        <f>'第一周'!D4</f>
        <v>1450</v>
      </c>
      <c r="F3" s="633"/>
      <c r="G3" s="11" t="s">
        <v>32</v>
      </c>
      <c r="H3" s="12"/>
      <c r="I3" s="12"/>
      <c r="J3" s="12"/>
      <c r="K3" s="13"/>
      <c r="L3" s="14" t="s">
        <v>33</v>
      </c>
      <c r="M3" s="15" t="s">
        <v>34</v>
      </c>
      <c r="N3" s="16"/>
      <c r="O3" s="17"/>
    </row>
    <row r="4" spans="1:15" s="9" customFormat="1" ht="24" customHeight="1">
      <c r="A4" s="18" t="str">
        <f>'11月'!A4</f>
        <v>藜麥飯</v>
      </c>
      <c r="B4" s="634" t="s">
        <v>35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36</v>
      </c>
      <c r="M4" s="15" t="s">
        <v>37</v>
      </c>
      <c r="N4" s="16"/>
      <c r="O4" s="17"/>
    </row>
    <row r="5" spans="1:15" s="9" customFormat="1" ht="24" customHeight="1">
      <c r="A5" s="77" t="str">
        <f>'11月'!A5</f>
        <v>滷肉燥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14" t="s">
        <v>42</v>
      </c>
      <c r="M5" s="15" t="s">
        <v>43</v>
      </c>
      <c r="N5" s="16"/>
      <c r="O5" s="17"/>
    </row>
    <row r="6" spans="1:15" s="9" customFormat="1" ht="24" customHeight="1">
      <c r="A6" s="77" t="str">
        <f>'11月'!A6</f>
        <v>鮮炒桂竹筍</v>
      </c>
      <c r="B6" s="627">
        <f>'第一周'!C30</f>
        <v>4.2</v>
      </c>
      <c r="C6" s="627"/>
      <c r="D6" s="627">
        <f>'第一周'!C31</f>
        <v>2.1</v>
      </c>
      <c r="E6" s="627"/>
      <c r="F6" s="627"/>
      <c r="G6" s="627">
        <f>'第一周'!C32</f>
        <v>1.7</v>
      </c>
      <c r="H6" s="627"/>
      <c r="I6" s="627"/>
      <c r="J6" s="627">
        <f>'第一周'!C33</f>
        <v>2.5</v>
      </c>
      <c r="K6" s="628"/>
      <c r="L6" s="14" t="s">
        <v>44</v>
      </c>
      <c r="M6" s="15" t="s">
        <v>45</v>
      </c>
      <c r="N6" s="16"/>
      <c r="O6" s="17"/>
    </row>
    <row r="7" spans="1:15" s="9" customFormat="1" ht="24" customHeight="1">
      <c r="A7" s="77" t="str">
        <f>'11月'!A7</f>
        <v>產銷履歷蔬菜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49</v>
      </c>
      <c r="K7" s="631"/>
      <c r="L7" s="14" t="s">
        <v>50</v>
      </c>
      <c r="M7" s="20" t="s">
        <v>51</v>
      </c>
      <c r="N7" s="21"/>
      <c r="O7" s="17"/>
    </row>
    <row r="8" spans="1:15" s="9" customFormat="1" ht="24" customHeight="1">
      <c r="A8" s="77" t="str">
        <f>'11月'!A8</f>
        <v>冬瓜薏仁湯</v>
      </c>
      <c r="B8" s="627"/>
      <c r="C8" s="627"/>
      <c r="D8" s="627"/>
      <c r="E8" s="627"/>
      <c r="F8" s="627"/>
      <c r="G8" s="627"/>
      <c r="H8" s="627"/>
      <c r="I8" s="627"/>
      <c r="J8" s="627">
        <f>'第一周'!C35</f>
        <v>606.5</v>
      </c>
      <c r="K8" s="628"/>
      <c r="L8" s="577"/>
      <c r="M8" s="578"/>
      <c r="N8" s="579"/>
      <c r="O8" s="17"/>
    </row>
    <row r="9" spans="1:15" s="9" customFormat="1" ht="24" customHeight="1" thickBot="1">
      <c r="A9" s="22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52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53</v>
      </c>
      <c r="M10" s="593"/>
      <c r="N10" s="594"/>
      <c r="O10" s="17"/>
    </row>
    <row r="11" spans="1:15" s="9" customFormat="1" ht="24" customHeight="1">
      <c r="A11" s="24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56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57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59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61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63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64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65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66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67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68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69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21</v>
      </c>
      <c r="B38" s="3" t="s">
        <v>22</v>
      </c>
      <c r="C38" s="4">
        <f>C2</f>
        <v>112</v>
      </c>
      <c r="D38" s="5" t="s">
        <v>23</v>
      </c>
      <c r="E38" s="4">
        <f>E2</f>
        <v>10</v>
      </c>
      <c r="F38" s="5" t="s">
        <v>24</v>
      </c>
      <c r="G38" s="4">
        <f>G2</f>
        <v>30</v>
      </c>
      <c r="H38" s="5" t="s">
        <v>25</v>
      </c>
      <c r="I38" s="5" t="s">
        <v>26</v>
      </c>
      <c r="J38" s="5" t="str">
        <f>J2</f>
        <v>一</v>
      </c>
      <c r="K38" s="585" t="s">
        <v>392</v>
      </c>
      <c r="L38" s="585"/>
      <c r="M38" s="586" t="s">
        <v>71</v>
      </c>
      <c r="N38" s="587"/>
    </row>
    <row r="39" spans="1:14" s="9" customFormat="1" ht="28.5" customHeight="1">
      <c r="A39" s="558" t="s">
        <v>72</v>
      </c>
      <c r="B39" s="569" t="s">
        <v>196</v>
      </c>
      <c r="C39" s="569"/>
      <c r="D39" s="569" t="s">
        <v>73</v>
      </c>
      <c r="E39" s="569"/>
      <c r="F39" s="569"/>
      <c r="G39" s="569" t="s">
        <v>74</v>
      </c>
      <c r="H39" s="569"/>
      <c r="I39" s="569"/>
      <c r="J39" s="568" t="s">
        <v>75</v>
      </c>
      <c r="K39" s="568"/>
      <c r="L39" s="570" t="s">
        <v>76</v>
      </c>
      <c r="M39" s="572" t="s">
        <v>216</v>
      </c>
      <c r="N39" s="575" t="s">
        <v>77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71"/>
      <c r="M40" s="573"/>
      <c r="N40" s="576"/>
    </row>
    <row r="41" spans="1:14" s="9" customFormat="1" ht="28.5" customHeight="1">
      <c r="A41" s="558" t="s">
        <v>78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71"/>
      <c r="M41" s="573"/>
      <c r="N41" s="576"/>
    </row>
    <row r="42" spans="1:14" s="9" customFormat="1" ht="4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8"/>
      <c r="M42" s="574"/>
      <c r="N42" s="576"/>
    </row>
    <row r="43" spans="1:14" s="9" customFormat="1" ht="28.5" customHeight="1">
      <c r="A43" s="432" t="s">
        <v>389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172" t="s">
        <v>511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172" t="s">
        <v>512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7" s="9" customFormat="1" ht="28.5" customHeight="1">
      <c r="A46" s="170" t="s">
        <v>390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  <c r="Q46" s="9" t="s">
        <v>79</v>
      </c>
    </row>
    <row r="47" spans="1:14" s="9" customFormat="1" ht="28.5" customHeight="1">
      <c r="A47" s="169" t="s">
        <v>364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391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433" t="s">
        <v>205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433" t="s">
        <v>365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434" t="s">
        <v>513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172" t="s">
        <v>368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8.5" customHeight="1">
      <c r="A53" s="173" t="s">
        <v>330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433" t="s">
        <v>361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432" t="s">
        <v>452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432" t="s">
        <v>304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432" t="s">
        <v>205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172"/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70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s="9" customFormat="1" ht="28.5" customHeight="1">
      <c r="A60" s="169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85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>
      <c r="A62" s="558" t="s">
        <v>80</v>
      </c>
      <c r="B62" s="561" t="s">
        <v>81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</row>
    <row r="63" spans="1:14" ht="28.5" customHeight="1">
      <c r="A63" s="559"/>
      <c r="B63" s="563" t="s">
        <v>82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8.5" customHeight="1" thickBot="1">
      <c r="A64" s="560"/>
      <c r="B64" s="565" t="s">
        <v>83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</row>
    <row r="65" spans="1:15" s="9" customFormat="1" ht="24" customHeight="1">
      <c r="A65" s="62" t="s">
        <v>69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G59:I59"/>
    <mergeCell ref="J59:K59"/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B58:C58"/>
    <mergeCell ref="D58:F58"/>
    <mergeCell ref="G58:I58"/>
    <mergeCell ref="J58:K58"/>
    <mergeCell ref="B60:C60"/>
    <mergeCell ref="D60:F60"/>
    <mergeCell ref="G60:I60"/>
    <mergeCell ref="J60:K60"/>
    <mergeCell ref="B59:C59"/>
    <mergeCell ref="D59:F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15748031496062992" right="0.15748031496062992" top="0.2362204724409449" bottom="0.0787401574803149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4">
      <selection activeCell="G30" sqref="G30"/>
    </sheetView>
  </sheetViews>
  <sheetFormatPr defaultColWidth="9.00390625" defaultRowHeight="16.5"/>
  <cols>
    <col min="1" max="1" width="12.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125" style="1" customWidth="1"/>
    <col min="14" max="14" width="11.5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84</v>
      </c>
      <c r="B2" s="3" t="s">
        <v>85</v>
      </c>
      <c r="C2" s="4">
        <f>'1一日誌'!C2</f>
        <v>112</v>
      </c>
      <c r="D2" s="5" t="s">
        <v>86</v>
      </c>
      <c r="E2" s="4">
        <f>'1一日誌'!E2</f>
        <v>10</v>
      </c>
      <c r="F2" s="5" t="s">
        <v>87</v>
      </c>
      <c r="G2" s="4">
        <f>'1一日誌'!G2+1</f>
        <v>31</v>
      </c>
      <c r="H2" s="5" t="s">
        <v>88</v>
      </c>
      <c r="I2" s="5" t="s">
        <v>89</v>
      </c>
      <c r="J2" s="5" t="s">
        <v>90</v>
      </c>
      <c r="K2" s="6" t="s">
        <v>91</v>
      </c>
      <c r="L2" s="642" t="s">
        <v>92</v>
      </c>
      <c r="M2" s="593"/>
      <c r="N2" s="594"/>
      <c r="O2" s="7"/>
      <c r="P2" s="8"/>
    </row>
    <row r="3" spans="1:15" s="9" customFormat="1" ht="24" customHeight="1" thickBot="1">
      <c r="A3" s="10" t="s">
        <v>93</v>
      </c>
      <c r="B3" s="632" t="s">
        <v>94</v>
      </c>
      <c r="C3" s="596"/>
      <c r="D3" s="596"/>
      <c r="E3" s="633">
        <f>'第一周'!K4</f>
        <v>1450</v>
      </c>
      <c r="F3" s="633"/>
      <c r="G3" s="11" t="s">
        <v>95</v>
      </c>
      <c r="H3" s="12"/>
      <c r="I3" s="12"/>
      <c r="J3" s="12"/>
      <c r="K3" s="13"/>
      <c r="L3" s="68" t="s">
        <v>96</v>
      </c>
      <c r="M3" s="15" t="s">
        <v>97</v>
      </c>
      <c r="N3" s="16"/>
      <c r="O3" s="17"/>
    </row>
    <row r="4" spans="1:15" s="9" customFormat="1" ht="24" customHeight="1">
      <c r="A4" s="18" t="str">
        <f>'11月'!B4</f>
        <v>糙米飯</v>
      </c>
      <c r="B4" s="634" t="s">
        <v>98</v>
      </c>
      <c r="C4" s="635"/>
      <c r="D4" s="635"/>
      <c r="E4" s="635"/>
      <c r="F4" s="635"/>
      <c r="G4" s="635"/>
      <c r="H4" s="635"/>
      <c r="I4" s="635"/>
      <c r="J4" s="635"/>
      <c r="K4" s="636"/>
      <c r="L4" s="68" t="s">
        <v>99</v>
      </c>
      <c r="M4" s="15" t="s">
        <v>100</v>
      </c>
      <c r="N4" s="16"/>
      <c r="O4" s="17"/>
    </row>
    <row r="5" spans="1:15" s="9" customFormat="1" ht="24" customHeight="1">
      <c r="A5" s="77" t="str">
        <f>'11月'!B5</f>
        <v>◎ 砂鍋魚丁</v>
      </c>
      <c r="B5" s="629" t="s">
        <v>101</v>
      </c>
      <c r="C5" s="627"/>
      <c r="D5" s="637" t="s">
        <v>102</v>
      </c>
      <c r="E5" s="638"/>
      <c r="F5" s="638"/>
      <c r="G5" s="629" t="s">
        <v>103</v>
      </c>
      <c r="H5" s="627"/>
      <c r="I5" s="627"/>
      <c r="J5" s="629" t="s">
        <v>104</v>
      </c>
      <c r="K5" s="628"/>
      <c r="L5" s="68" t="s">
        <v>105</v>
      </c>
      <c r="M5" s="15" t="s">
        <v>106</v>
      </c>
      <c r="N5" s="16"/>
      <c r="O5" s="17"/>
    </row>
    <row r="6" spans="1:15" s="9" customFormat="1" ht="24" customHeight="1">
      <c r="A6" s="77" t="str">
        <f>'11月'!B6</f>
        <v>番茄豆腐</v>
      </c>
      <c r="B6" s="627">
        <f>'第一周'!J30</f>
        <v>4.3</v>
      </c>
      <c r="C6" s="627"/>
      <c r="D6" s="627">
        <f>'第一周'!J31</f>
        <v>2.6</v>
      </c>
      <c r="E6" s="627"/>
      <c r="F6" s="627"/>
      <c r="G6" s="627">
        <f>'第一周'!J32</f>
        <v>1.2</v>
      </c>
      <c r="H6" s="627"/>
      <c r="I6" s="627"/>
      <c r="J6" s="627">
        <f>'第一周'!J33</f>
        <v>2.5</v>
      </c>
      <c r="K6" s="628"/>
      <c r="L6" s="68" t="s">
        <v>107</v>
      </c>
      <c r="M6" s="15" t="s">
        <v>108</v>
      </c>
      <c r="N6" s="16"/>
      <c r="O6" s="17"/>
    </row>
    <row r="7" spans="1:15" s="9" customFormat="1" ht="24" customHeight="1">
      <c r="A7" s="77" t="str">
        <f>'11月'!B7</f>
        <v>有機青菜</v>
      </c>
      <c r="B7" s="629" t="s">
        <v>109</v>
      </c>
      <c r="C7" s="627"/>
      <c r="D7" s="629" t="s">
        <v>110</v>
      </c>
      <c r="E7" s="627"/>
      <c r="F7" s="627"/>
      <c r="G7" s="629" t="s">
        <v>111</v>
      </c>
      <c r="H7" s="627"/>
      <c r="I7" s="627"/>
      <c r="J7" s="630" t="s">
        <v>49</v>
      </c>
      <c r="K7" s="631"/>
      <c r="L7" s="68" t="s">
        <v>112</v>
      </c>
      <c r="M7" s="20" t="s">
        <v>113</v>
      </c>
      <c r="N7" s="21"/>
      <c r="O7" s="17"/>
    </row>
    <row r="8" spans="1:15" s="9" customFormat="1" ht="24" customHeight="1">
      <c r="A8" s="77" t="str">
        <f>'11月'!B8</f>
        <v>豆薯肉絲湯</v>
      </c>
      <c r="B8" s="627">
        <f>'第一周'!J34</f>
        <v>1</v>
      </c>
      <c r="C8" s="627"/>
      <c r="D8" s="627"/>
      <c r="E8" s="627"/>
      <c r="F8" s="627"/>
      <c r="G8" s="627"/>
      <c r="H8" s="627"/>
      <c r="I8" s="627"/>
      <c r="J8" s="627">
        <f>'第一周'!J35</f>
        <v>738.5</v>
      </c>
      <c r="K8" s="628"/>
      <c r="L8" s="578"/>
      <c r="M8" s="578"/>
      <c r="N8" s="579"/>
      <c r="O8" s="17"/>
    </row>
    <row r="9" spans="1:15" s="9" customFormat="1" ht="24" customHeight="1" thickBot="1">
      <c r="A9" s="69" t="s">
        <v>338</v>
      </c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5"/>
      <c r="M9" s="625"/>
      <c r="N9" s="626"/>
      <c r="O9" s="23"/>
    </row>
    <row r="10" spans="1:15" s="9" customFormat="1" ht="24" customHeight="1">
      <c r="A10" s="639" t="s">
        <v>114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1"/>
      <c r="L10" s="592" t="s">
        <v>115</v>
      </c>
      <c r="M10" s="593"/>
      <c r="N10" s="594"/>
      <c r="O10" s="17"/>
    </row>
    <row r="11" spans="1:15" s="9" customFormat="1" ht="24" customHeight="1">
      <c r="A11" s="24" t="s">
        <v>116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117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118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119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120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121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122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123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124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125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126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127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21</v>
      </c>
      <c r="B38" s="3" t="s">
        <v>85</v>
      </c>
      <c r="C38" s="4">
        <f>C2</f>
        <v>112</v>
      </c>
      <c r="D38" s="5" t="s">
        <v>86</v>
      </c>
      <c r="E38" s="4">
        <f>E2</f>
        <v>10</v>
      </c>
      <c r="F38" s="5" t="s">
        <v>87</v>
      </c>
      <c r="G38" s="4">
        <f>G2</f>
        <v>31</v>
      </c>
      <c r="H38" s="5" t="s">
        <v>88</v>
      </c>
      <c r="I38" s="5" t="s">
        <v>89</v>
      </c>
      <c r="J38" s="5" t="str">
        <f>J2</f>
        <v>二</v>
      </c>
      <c r="K38" s="585" t="s">
        <v>392</v>
      </c>
      <c r="L38" s="585"/>
      <c r="M38" s="586" t="s">
        <v>129</v>
      </c>
      <c r="N38" s="587"/>
    </row>
    <row r="39" spans="1:14" s="9" customFormat="1" ht="28.5" customHeight="1">
      <c r="A39" s="558" t="s">
        <v>130</v>
      </c>
      <c r="B39" s="569" t="s">
        <v>197</v>
      </c>
      <c r="C39" s="569"/>
      <c r="D39" s="569" t="s">
        <v>131</v>
      </c>
      <c r="E39" s="569"/>
      <c r="F39" s="569"/>
      <c r="G39" s="569" t="s">
        <v>132</v>
      </c>
      <c r="H39" s="569"/>
      <c r="I39" s="569"/>
      <c r="J39" s="568" t="s">
        <v>133</v>
      </c>
      <c r="K39" s="568"/>
      <c r="L39" s="568" t="s">
        <v>134</v>
      </c>
      <c r="M39" s="572" t="s">
        <v>216</v>
      </c>
      <c r="N39" s="575" t="s">
        <v>135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136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37.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34.5" customHeight="1">
      <c r="A43" s="435" t="s">
        <v>454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169" t="s">
        <v>455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259" t="s">
        <v>198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8.5" customHeight="1">
      <c r="A46" s="258" t="s">
        <v>456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8.5" customHeight="1">
      <c r="A47" s="169" t="s">
        <v>457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458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169" t="s">
        <v>436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219" t="s">
        <v>433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169" t="s">
        <v>435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169" t="s">
        <v>434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8.5" customHeight="1">
      <c r="A53" s="170" t="s">
        <v>205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259" t="s">
        <v>329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173" t="s">
        <v>330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169" t="s">
        <v>314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170" t="s">
        <v>315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169" t="s">
        <v>205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69" t="s">
        <v>291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172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172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>
      <c r="A62" s="558" t="s">
        <v>80</v>
      </c>
      <c r="B62" s="561" t="s">
        <v>137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</row>
    <row r="63" spans="1:14" ht="28.5" customHeight="1">
      <c r="A63" s="559"/>
      <c r="B63" s="563" t="s">
        <v>138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8.5" customHeight="1" thickBot="1">
      <c r="A64" s="560"/>
      <c r="B64" s="565" t="s">
        <v>139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</row>
    <row r="65" spans="1:15" s="9" customFormat="1" ht="24" customHeight="1">
      <c r="A65" s="62" t="s">
        <v>128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2" right="0.16" top="0.24" bottom="0.17" header="0.5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1">
      <selection activeCell="K38" sqref="K38:L38"/>
    </sheetView>
  </sheetViews>
  <sheetFormatPr defaultColWidth="9.00390625" defaultRowHeight="16.5"/>
  <cols>
    <col min="1" max="1" width="14.1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875" style="1" customWidth="1"/>
    <col min="10" max="10" width="3.125" style="1" customWidth="1"/>
    <col min="11" max="11" width="9.00390625" style="1" customWidth="1"/>
    <col min="12" max="12" width="11.50390625" style="1" customWidth="1"/>
    <col min="13" max="13" width="12.625" style="1" customWidth="1"/>
    <col min="14" max="14" width="10.25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84</v>
      </c>
      <c r="B2" s="3" t="s">
        <v>85</v>
      </c>
      <c r="C2" s="4">
        <f>'1二日誌'!C2</f>
        <v>112</v>
      </c>
      <c r="D2" s="5" t="s">
        <v>86</v>
      </c>
      <c r="E2" s="4">
        <v>11</v>
      </c>
      <c r="F2" s="5" t="s">
        <v>87</v>
      </c>
      <c r="G2" s="4">
        <v>1</v>
      </c>
      <c r="H2" s="5" t="s">
        <v>88</v>
      </c>
      <c r="I2" s="5" t="s">
        <v>89</v>
      </c>
      <c r="J2" s="5" t="s">
        <v>140</v>
      </c>
      <c r="K2" s="6" t="s">
        <v>141</v>
      </c>
      <c r="L2" s="592" t="s">
        <v>92</v>
      </c>
      <c r="M2" s="593"/>
      <c r="N2" s="594"/>
      <c r="O2" s="7"/>
      <c r="P2" s="8"/>
    </row>
    <row r="3" spans="1:15" s="9" customFormat="1" ht="24" customHeight="1" thickBot="1">
      <c r="A3" s="10" t="s">
        <v>93</v>
      </c>
      <c r="B3" s="632" t="s">
        <v>94</v>
      </c>
      <c r="C3" s="596"/>
      <c r="D3" s="596"/>
      <c r="E3" s="633">
        <f>'第一周'!R4</f>
        <v>1450</v>
      </c>
      <c r="F3" s="633"/>
      <c r="G3" s="11" t="s">
        <v>95</v>
      </c>
      <c r="H3" s="12"/>
      <c r="I3" s="12"/>
      <c r="J3" s="12"/>
      <c r="K3" s="13"/>
      <c r="L3" s="14" t="s">
        <v>96</v>
      </c>
      <c r="M3" s="15" t="s">
        <v>97</v>
      </c>
      <c r="N3" s="16"/>
      <c r="O3" s="17"/>
    </row>
    <row r="4" spans="1:15" s="9" customFormat="1" ht="24" customHeight="1">
      <c r="A4" s="82" t="str">
        <f>'11月'!C4</f>
        <v>豚骨拉麵</v>
      </c>
      <c r="B4" s="634" t="s">
        <v>98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99</v>
      </c>
      <c r="M4" s="15" t="s">
        <v>100</v>
      </c>
      <c r="N4" s="16"/>
      <c r="O4" s="17"/>
    </row>
    <row r="5" spans="1:15" s="9" customFormat="1" ht="24" customHeight="1">
      <c r="A5" s="19" t="str">
        <f>'11月'!C5</f>
        <v>茶葉蛋加菜</v>
      </c>
      <c r="B5" s="629" t="s">
        <v>101</v>
      </c>
      <c r="C5" s="627"/>
      <c r="D5" s="637" t="s">
        <v>102</v>
      </c>
      <c r="E5" s="638"/>
      <c r="F5" s="638"/>
      <c r="G5" s="629" t="s">
        <v>103</v>
      </c>
      <c r="H5" s="627"/>
      <c r="I5" s="627"/>
      <c r="J5" s="629" t="s">
        <v>104</v>
      </c>
      <c r="K5" s="628"/>
      <c r="L5" s="14" t="s">
        <v>105</v>
      </c>
      <c r="M5" s="15" t="s">
        <v>106</v>
      </c>
      <c r="N5" s="16"/>
      <c r="O5" s="17"/>
    </row>
    <row r="6" spans="1:15" s="9" customFormat="1" ht="24" customHeight="1">
      <c r="A6" s="19" t="str">
        <f>'11月'!C6</f>
        <v>木須銀芽</v>
      </c>
      <c r="B6" s="627">
        <f>'第一周'!Q30</f>
        <v>4</v>
      </c>
      <c r="C6" s="627"/>
      <c r="D6" s="627">
        <f>'第一周'!Q31</f>
        <v>2.6</v>
      </c>
      <c r="E6" s="627"/>
      <c r="F6" s="627"/>
      <c r="G6" s="627">
        <f>'第一周'!Q32</f>
        <v>2</v>
      </c>
      <c r="H6" s="627"/>
      <c r="I6" s="627"/>
      <c r="J6" s="627">
        <f>'第一周'!Q33</f>
        <v>2.5</v>
      </c>
      <c r="K6" s="628"/>
      <c r="L6" s="14" t="s">
        <v>107</v>
      </c>
      <c r="M6" s="15" t="s">
        <v>108</v>
      </c>
      <c r="N6" s="16"/>
      <c r="O6" s="17"/>
    </row>
    <row r="7" spans="1:15" s="9" customFormat="1" ht="24" customHeight="1">
      <c r="A7" s="19" t="str">
        <f>'11月'!C7</f>
        <v>現磨豆漿</v>
      </c>
      <c r="B7" s="629" t="s">
        <v>109</v>
      </c>
      <c r="C7" s="627"/>
      <c r="D7" s="629" t="s">
        <v>110</v>
      </c>
      <c r="E7" s="627"/>
      <c r="F7" s="627"/>
      <c r="G7" s="629" t="s">
        <v>111</v>
      </c>
      <c r="H7" s="627"/>
      <c r="I7" s="627"/>
      <c r="J7" s="630" t="s">
        <v>49</v>
      </c>
      <c r="K7" s="631"/>
      <c r="L7" s="14" t="s">
        <v>112</v>
      </c>
      <c r="M7" s="20" t="s">
        <v>113</v>
      </c>
      <c r="N7" s="21"/>
      <c r="O7" s="17"/>
    </row>
    <row r="8" spans="1:15" s="9" customFormat="1" ht="24" customHeight="1">
      <c r="A8" s="83"/>
      <c r="B8" s="627"/>
      <c r="C8" s="627"/>
      <c r="D8" s="627">
        <f>'第一周'!Q34</f>
        <v>0</v>
      </c>
      <c r="E8" s="627"/>
      <c r="F8" s="627"/>
      <c r="G8" s="627">
        <v>1</v>
      </c>
      <c r="H8" s="627"/>
      <c r="I8" s="627"/>
      <c r="J8" s="627">
        <f>'第一周'!Q35</f>
        <v>637.5</v>
      </c>
      <c r="K8" s="628"/>
      <c r="L8" s="577"/>
      <c r="M8" s="578"/>
      <c r="N8" s="579"/>
      <c r="O8" s="17"/>
    </row>
    <row r="9" spans="1:15" s="9" customFormat="1" ht="24" customHeight="1" thickBot="1">
      <c r="A9" s="70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114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115</v>
      </c>
      <c r="M10" s="593"/>
      <c r="N10" s="594"/>
      <c r="O10" s="17"/>
    </row>
    <row r="11" spans="1:15" s="9" customFormat="1" ht="24" customHeight="1">
      <c r="A11" s="24" t="s">
        <v>116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117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118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119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120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121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 t="s">
        <v>142</v>
      </c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122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123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124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125</v>
      </c>
      <c r="M32" s="578"/>
      <c r="N32" s="579"/>
      <c r="O32" s="37"/>
    </row>
    <row r="33" spans="1:15" s="9" customFormat="1" ht="24" customHeight="1">
      <c r="A33" s="71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126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127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84</v>
      </c>
      <c r="B38" s="3" t="s">
        <v>85</v>
      </c>
      <c r="C38" s="4">
        <f>C2</f>
        <v>112</v>
      </c>
      <c r="D38" s="5" t="s">
        <v>86</v>
      </c>
      <c r="E38" s="4">
        <f>E2</f>
        <v>11</v>
      </c>
      <c r="F38" s="5" t="s">
        <v>87</v>
      </c>
      <c r="G38" s="4">
        <f>G2</f>
        <v>1</v>
      </c>
      <c r="H38" s="5" t="s">
        <v>88</v>
      </c>
      <c r="I38" s="5" t="s">
        <v>89</v>
      </c>
      <c r="J38" s="5" t="str">
        <f>J2</f>
        <v>三</v>
      </c>
      <c r="K38" s="586" t="s">
        <v>70</v>
      </c>
      <c r="L38" s="586"/>
      <c r="M38" s="586" t="s">
        <v>129</v>
      </c>
      <c r="N38" s="587"/>
    </row>
    <row r="39" spans="1:14" s="9" customFormat="1" ht="28.5" customHeight="1">
      <c r="A39" s="558" t="s">
        <v>130</v>
      </c>
      <c r="B39" s="569" t="s">
        <v>197</v>
      </c>
      <c r="C39" s="569"/>
      <c r="D39" s="569" t="s">
        <v>131</v>
      </c>
      <c r="E39" s="569"/>
      <c r="F39" s="569"/>
      <c r="G39" s="569" t="s">
        <v>132</v>
      </c>
      <c r="H39" s="569"/>
      <c r="I39" s="569"/>
      <c r="J39" s="568" t="s">
        <v>133</v>
      </c>
      <c r="K39" s="568"/>
      <c r="L39" s="568" t="s">
        <v>134</v>
      </c>
      <c r="M39" s="572" t="s">
        <v>216</v>
      </c>
      <c r="N39" s="575" t="s">
        <v>135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136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34.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28.5" customHeight="1">
      <c r="A43" s="170" t="s">
        <v>370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169" t="s">
        <v>303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170" t="s">
        <v>363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8.5" customHeight="1">
      <c r="A46" s="170" t="s">
        <v>323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8.5" customHeight="1">
      <c r="A47" s="170" t="s">
        <v>371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312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169" t="s">
        <v>372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169" t="s">
        <v>374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169" t="s">
        <v>255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172" t="s">
        <v>351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7.75" customHeight="1">
      <c r="A53" s="173" t="s">
        <v>352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173" t="s">
        <v>330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169" t="s">
        <v>302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169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169"/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85"/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72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173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169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>
      <c r="A62" s="558" t="s">
        <v>80</v>
      </c>
      <c r="B62" s="561" t="s">
        <v>137</v>
      </c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2"/>
    </row>
    <row r="63" spans="1:14" ht="28.5" customHeight="1">
      <c r="A63" s="559"/>
      <c r="B63" s="563" t="s">
        <v>138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8.5" customHeight="1" thickBot="1">
      <c r="A64" s="560"/>
      <c r="B64" s="565" t="s">
        <v>139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6"/>
    </row>
    <row r="65" spans="1:15" s="9" customFormat="1" ht="24" customHeight="1">
      <c r="A65" s="62" t="s">
        <v>128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26" right="0.18" top="0.33" bottom="0.17" header="0.28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2">
      <selection activeCell="A38" sqref="A38:N65"/>
    </sheetView>
  </sheetViews>
  <sheetFormatPr defaultColWidth="9.00390625" defaultRowHeight="16.5"/>
  <cols>
    <col min="1" max="1" width="13.50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125" style="1" customWidth="1"/>
    <col min="14" max="14" width="9.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143</v>
      </c>
      <c r="B2" s="3" t="s">
        <v>144</v>
      </c>
      <c r="C2" s="4">
        <f>'1三日誌'!C2</f>
        <v>112</v>
      </c>
      <c r="D2" s="5" t="s">
        <v>145</v>
      </c>
      <c r="E2" s="4">
        <f>'1三日誌'!E2</f>
        <v>11</v>
      </c>
      <c r="F2" s="5" t="s">
        <v>24</v>
      </c>
      <c r="G2" s="4">
        <f>'1三日誌'!G2+1</f>
        <v>2</v>
      </c>
      <c r="H2" s="5" t="s">
        <v>25</v>
      </c>
      <c r="I2" s="5" t="s">
        <v>26</v>
      </c>
      <c r="J2" s="5" t="s">
        <v>146</v>
      </c>
      <c r="K2" s="6" t="s">
        <v>147</v>
      </c>
      <c r="L2" s="592" t="s">
        <v>29</v>
      </c>
      <c r="M2" s="593"/>
      <c r="N2" s="594"/>
      <c r="O2" s="7"/>
      <c r="P2" s="8"/>
    </row>
    <row r="3" spans="1:15" s="9" customFormat="1" ht="24" customHeight="1" thickBot="1">
      <c r="A3" s="10" t="s">
        <v>30</v>
      </c>
      <c r="B3" s="632" t="s">
        <v>31</v>
      </c>
      <c r="C3" s="596"/>
      <c r="D3" s="596"/>
      <c r="E3" s="633">
        <f>'第一周'!Y4</f>
        <v>1450</v>
      </c>
      <c r="F3" s="633"/>
      <c r="G3" s="11" t="s">
        <v>32</v>
      </c>
      <c r="H3" s="12"/>
      <c r="I3" s="12"/>
      <c r="J3" s="12"/>
      <c r="K3" s="13"/>
      <c r="L3" s="14" t="s">
        <v>33</v>
      </c>
      <c r="M3" s="15" t="s">
        <v>34</v>
      </c>
      <c r="N3" s="16"/>
      <c r="O3" s="17"/>
    </row>
    <row r="4" spans="1:15" s="9" customFormat="1" ht="24" customHeight="1">
      <c r="A4" s="80" t="str">
        <f>'11月'!D4</f>
        <v>糙米飯</v>
      </c>
      <c r="B4" s="634" t="s">
        <v>35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36</v>
      </c>
      <c r="M4" s="15" t="s">
        <v>37</v>
      </c>
      <c r="N4" s="16"/>
      <c r="O4" s="17"/>
    </row>
    <row r="5" spans="1:15" s="9" customFormat="1" ht="24" customHeight="1">
      <c r="A5" s="81" t="str">
        <f>'11月'!D5</f>
        <v>蔥燒雞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14" t="s">
        <v>42</v>
      </c>
      <c r="M5" s="15" t="s">
        <v>43</v>
      </c>
      <c r="N5" s="16"/>
      <c r="O5" s="17"/>
    </row>
    <row r="6" spans="1:15" s="9" customFormat="1" ht="24" customHeight="1">
      <c r="A6" s="81" t="str">
        <f>'11月'!D6</f>
        <v>冬瓜燴鴿蛋</v>
      </c>
      <c r="B6" s="627">
        <f>'第一周'!X30</f>
        <v>4.2</v>
      </c>
      <c r="C6" s="627"/>
      <c r="D6" s="627">
        <f>'第一周'!X31</f>
        <v>2.4</v>
      </c>
      <c r="E6" s="627"/>
      <c r="F6" s="627"/>
      <c r="G6" s="627">
        <f>'第一周'!X32</f>
        <v>1.6</v>
      </c>
      <c r="H6" s="627"/>
      <c r="I6" s="627"/>
      <c r="J6" s="627">
        <f>'第一周'!X33</f>
        <v>2.5</v>
      </c>
      <c r="K6" s="628"/>
      <c r="L6" s="14" t="s">
        <v>44</v>
      </c>
      <c r="M6" s="15" t="s">
        <v>45</v>
      </c>
      <c r="N6" s="16"/>
      <c r="O6" s="17"/>
    </row>
    <row r="7" spans="1:15" s="9" customFormat="1" ht="24" customHeight="1">
      <c r="A7" s="81" t="str">
        <f>'11月'!D7</f>
        <v>有機青菜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194</v>
      </c>
      <c r="K7" s="631"/>
      <c r="L7" s="14" t="s">
        <v>50</v>
      </c>
      <c r="M7" s="20" t="s">
        <v>51</v>
      </c>
      <c r="N7" s="21"/>
      <c r="O7" s="17"/>
    </row>
    <row r="8" spans="1:15" s="9" customFormat="1" ht="24" customHeight="1">
      <c r="A8" s="81" t="str">
        <f>'11月'!D8</f>
        <v>關東煮</v>
      </c>
      <c r="B8" s="627"/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626.5</v>
      </c>
      <c r="K8" s="628"/>
      <c r="L8" s="577"/>
      <c r="M8" s="578"/>
      <c r="N8" s="579"/>
      <c r="O8" s="17"/>
    </row>
    <row r="9" spans="1:15" s="9" customFormat="1" ht="24" customHeight="1" thickBot="1">
      <c r="A9" s="70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148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149</v>
      </c>
      <c r="M10" s="593"/>
      <c r="N10" s="594"/>
      <c r="O10" s="17"/>
    </row>
    <row r="11" spans="1:15" s="9" customFormat="1" ht="24" customHeight="1">
      <c r="A11" s="24" t="s">
        <v>150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151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152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153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154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155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156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157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158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159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160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161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162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163</v>
      </c>
      <c r="B38" s="3" t="s">
        <v>164</v>
      </c>
      <c r="C38" s="4">
        <f>C2</f>
        <v>112</v>
      </c>
      <c r="D38" s="5" t="s">
        <v>165</v>
      </c>
      <c r="E38" s="4">
        <f>E2</f>
        <v>11</v>
      </c>
      <c r="F38" s="5" t="s">
        <v>166</v>
      </c>
      <c r="G38" s="4">
        <f>G2</f>
        <v>2</v>
      </c>
      <c r="H38" s="5" t="s">
        <v>167</v>
      </c>
      <c r="I38" s="5" t="s">
        <v>168</v>
      </c>
      <c r="J38" s="5" t="str">
        <f>J2</f>
        <v>四</v>
      </c>
      <c r="K38" s="585" t="str">
        <f>'1三日誌'!K38:L38</f>
        <v> 廠商：定緁</v>
      </c>
      <c r="L38" s="585"/>
      <c r="M38" s="586" t="s">
        <v>169</v>
      </c>
      <c r="N38" s="587"/>
    </row>
    <row r="39" spans="1:14" s="9" customFormat="1" ht="28.5" customHeight="1">
      <c r="A39" s="558" t="s">
        <v>170</v>
      </c>
      <c r="B39" s="569" t="s">
        <v>197</v>
      </c>
      <c r="C39" s="569"/>
      <c r="D39" s="569" t="s">
        <v>171</v>
      </c>
      <c r="E39" s="569"/>
      <c r="F39" s="569"/>
      <c r="G39" s="569" t="s">
        <v>172</v>
      </c>
      <c r="H39" s="569"/>
      <c r="I39" s="569"/>
      <c r="J39" s="568" t="s">
        <v>173</v>
      </c>
      <c r="K39" s="568"/>
      <c r="L39" s="568" t="s">
        <v>174</v>
      </c>
      <c r="M39" s="572" t="s">
        <v>216</v>
      </c>
      <c r="N39" s="575" t="s">
        <v>175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176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35.25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27" customHeight="1">
      <c r="A43" s="433" t="s">
        <v>252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72"/>
      <c r="N43" s="66"/>
    </row>
    <row r="44" spans="1:14" s="9" customFormat="1" ht="27" customHeight="1">
      <c r="A44" s="436" t="s">
        <v>448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7" customHeight="1">
      <c r="A45" s="437" t="s">
        <v>385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7" customHeight="1">
      <c r="A46" s="432" t="s">
        <v>221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7" customHeight="1">
      <c r="A47" s="433" t="s">
        <v>381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7" customHeight="1">
      <c r="A48" s="169" t="s">
        <v>219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7" customHeight="1">
      <c r="A49" s="169" t="s">
        <v>465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7" customHeight="1">
      <c r="A50" s="219" t="s">
        <v>353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7" customHeight="1">
      <c r="A51" s="169" t="s">
        <v>198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7" customHeight="1">
      <c r="A52" s="219" t="s">
        <v>300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7" customHeight="1">
      <c r="A53" s="169" t="s">
        <v>205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7" customHeight="1">
      <c r="A54" s="171" t="s">
        <v>290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7" customHeight="1">
      <c r="A55" s="259" t="s">
        <v>387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7" customHeight="1">
      <c r="A56" s="173" t="s">
        <v>330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7" customHeight="1">
      <c r="A57" s="169" t="s">
        <v>461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7" customHeight="1">
      <c r="A58" s="169" t="s">
        <v>462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7" customHeight="1">
      <c r="A59" s="169" t="s">
        <v>463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s="9" customFormat="1" ht="27" customHeight="1">
      <c r="A60" s="170" t="s">
        <v>464</v>
      </c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7" customHeight="1">
      <c r="A61" s="169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7" customHeight="1">
      <c r="A62" s="170"/>
      <c r="B62" s="567"/>
      <c r="C62" s="567"/>
      <c r="D62" s="567"/>
      <c r="E62" s="567"/>
      <c r="F62" s="567"/>
      <c r="G62" s="567"/>
      <c r="H62" s="567"/>
      <c r="I62" s="567"/>
      <c r="J62" s="567"/>
      <c r="K62" s="567"/>
      <c r="L62" s="65"/>
      <c r="M62" s="65"/>
      <c r="N62" s="66"/>
    </row>
    <row r="63" spans="1:14" ht="28.5" customHeight="1">
      <c r="A63" s="558" t="s">
        <v>80</v>
      </c>
      <c r="B63" s="561" t="s">
        <v>177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2"/>
    </row>
    <row r="64" spans="1:14" ht="28.5" customHeight="1">
      <c r="A64" s="559"/>
      <c r="B64" s="563" t="s">
        <v>178</v>
      </c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4"/>
    </row>
    <row r="65" spans="1:14" ht="28.5" customHeight="1" thickBot="1">
      <c r="A65" s="560"/>
      <c r="B65" s="565" t="s">
        <v>179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6"/>
    </row>
    <row r="66" spans="1:15" s="9" customFormat="1" ht="24" customHeight="1">
      <c r="A66" s="62" t="s">
        <v>162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/>
  <mergeCells count="145">
    <mergeCell ref="B59:C59"/>
    <mergeCell ref="D59:F59"/>
    <mergeCell ref="G59:I59"/>
    <mergeCell ref="J59:K59"/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2:I62"/>
    <mergeCell ref="J62:K62"/>
    <mergeCell ref="B58:C58"/>
    <mergeCell ref="D58:F58"/>
    <mergeCell ref="G58:I58"/>
    <mergeCell ref="J58:K58"/>
    <mergeCell ref="B60:C60"/>
    <mergeCell ref="D60:F60"/>
    <mergeCell ref="G60:I60"/>
    <mergeCell ref="J60:K60"/>
    <mergeCell ref="A63:A65"/>
    <mergeCell ref="B63:N63"/>
    <mergeCell ref="B64:N64"/>
    <mergeCell ref="B65:N65"/>
    <mergeCell ref="B61:C61"/>
    <mergeCell ref="D61:F61"/>
    <mergeCell ref="G61:I61"/>
    <mergeCell ref="J61:K61"/>
    <mergeCell ref="B62:C62"/>
    <mergeCell ref="D62:F62"/>
  </mergeCells>
  <printOptions/>
  <pageMargins left="0.17" right="0.16" top="0.26" bottom="0.24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H36" sqref="H36"/>
    </sheetView>
  </sheetViews>
  <sheetFormatPr defaultColWidth="9.00390625" defaultRowHeight="16.5"/>
  <cols>
    <col min="1" max="1" width="14.75390625" style="1" customWidth="1"/>
    <col min="2" max="2" width="5.875" style="1" customWidth="1"/>
    <col min="3" max="3" width="6.00390625" style="1" customWidth="1"/>
    <col min="4" max="4" width="4.00390625" style="1" customWidth="1"/>
    <col min="5" max="5" width="4.25390625" style="1" customWidth="1"/>
    <col min="6" max="6" width="3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125" style="1" customWidth="1"/>
    <col min="14" max="14" width="11.0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143</v>
      </c>
      <c r="B2" s="3" t="s">
        <v>144</v>
      </c>
      <c r="C2" s="4">
        <f>'1四日誌'!C2</f>
        <v>112</v>
      </c>
      <c r="D2" s="5" t="s">
        <v>145</v>
      </c>
      <c r="E2" s="4">
        <f>'1四日誌'!E2</f>
        <v>11</v>
      </c>
      <c r="F2" s="5" t="s">
        <v>180</v>
      </c>
      <c r="G2" s="4">
        <f>'1四日誌'!G2+1</f>
        <v>3</v>
      </c>
      <c r="H2" s="5" t="s">
        <v>181</v>
      </c>
      <c r="I2" s="5" t="s">
        <v>182</v>
      </c>
      <c r="J2" s="5" t="s">
        <v>183</v>
      </c>
      <c r="K2" s="6" t="s">
        <v>184</v>
      </c>
      <c r="L2" s="592" t="s">
        <v>185</v>
      </c>
      <c r="M2" s="593"/>
      <c r="N2" s="594"/>
      <c r="O2" s="7"/>
      <c r="P2" s="8"/>
    </row>
    <row r="3" spans="1:15" s="9" customFormat="1" ht="24" customHeight="1" thickBot="1">
      <c r="A3" s="10" t="s">
        <v>186</v>
      </c>
      <c r="B3" s="632" t="s">
        <v>187</v>
      </c>
      <c r="C3" s="596"/>
      <c r="D3" s="596"/>
      <c r="E3" s="633">
        <f>'第一周'!AF4</f>
        <v>1450</v>
      </c>
      <c r="F3" s="633"/>
      <c r="G3" s="11" t="s">
        <v>188</v>
      </c>
      <c r="H3" s="12"/>
      <c r="I3" s="12"/>
      <c r="J3" s="12"/>
      <c r="K3" s="13"/>
      <c r="L3" s="14" t="s">
        <v>189</v>
      </c>
      <c r="M3" s="15" t="s">
        <v>190</v>
      </c>
      <c r="N3" s="16"/>
      <c r="O3" s="17"/>
    </row>
    <row r="4" spans="1:15" s="9" customFormat="1" ht="24" customHeight="1">
      <c r="A4" s="78" t="str">
        <f>'11月'!E4</f>
        <v>糙米飯</v>
      </c>
      <c r="B4" s="634" t="s">
        <v>191</v>
      </c>
      <c r="C4" s="635"/>
      <c r="D4" s="635"/>
      <c r="E4" s="635"/>
      <c r="F4" s="635"/>
      <c r="G4" s="635"/>
      <c r="H4" s="635"/>
      <c r="I4" s="635"/>
      <c r="J4" s="635"/>
      <c r="K4" s="636"/>
      <c r="L4" s="14" t="s">
        <v>192</v>
      </c>
      <c r="M4" s="15" t="s">
        <v>193</v>
      </c>
      <c r="N4" s="16"/>
      <c r="O4" s="17"/>
    </row>
    <row r="5" spans="1:15" s="9" customFormat="1" ht="24" customHeight="1">
      <c r="A5" s="79" t="str">
        <f>'11月'!E5</f>
        <v>筍乾燒蹄膀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14" t="s">
        <v>42</v>
      </c>
      <c r="M5" s="15" t="s">
        <v>43</v>
      </c>
      <c r="N5" s="16"/>
      <c r="O5" s="17"/>
    </row>
    <row r="6" spans="1:15" s="9" customFormat="1" ht="24" customHeight="1">
      <c r="A6" s="79" t="str">
        <f>'11月'!E6</f>
        <v>螞蟻上樹</v>
      </c>
      <c r="B6" s="627">
        <f>'第一周'!AE30</f>
        <v>4.6</v>
      </c>
      <c r="C6" s="627"/>
      <c r="D6" s="627">
        <f>'第一周'!AE31</f>
        <v>2.3</v>
      </c>
      <c r="E6" s="627"/>
      <c r="F6" s="627"/>
      <c r="G6" s="627">
        <f>'第一周'!AE32</f>
        <v>1.5</v>
      </c>
      <c r="H6" s="627"/>
      <c r="I6" s="627"/>
      <c r="J6" s="627">
        <f>'第一周'!AE33</f>
        <v>2.5</v>
      </c>
      <c r="K6" s="628"/>
      <c r="L6" s="14" t="s">
        <v>44</v>
      </c>
      <c r="M6" s="15" t="s">
        <v>45</v>
      </c>
      <c r="N6" s="16"/>
      <c r="O6" s="17"/>
    </row>
    <row r="7" spans="1:15" s="9" customFormat="1" ht="24" customHeight="1">
      <c r="A7" s="79" t="str">
        <f>'11月'!E7</f>
        <v>有機青菜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49</v>
      </c>
      <c r="K7" s="631"/>
      <c r="L7" s="14" t="s">
        <v>50</v>
      </c>
      <c r="M7" s="20" t="s">
        <v>51</v>
      </c>
      <c r="N7" s="21"/>
      <c r="O7" s="17"/>
    </row>
    <row r="8" spans="1:15" s="9" customFormat="1" ht="24" customHeight="1">
      <c r="A8" s="79" t="str">
        <f>'11月'!E8</f>
        <v>海帶結排骨湯</v>
      </c>
      <c r="B8" s="627">
        <f>'第一周'!AE34</f>
        <v>0</v>
      </c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644.5</v>
      </c>
      <c r="K8" s="628"/>
      <c r="L8" s="577"/>
      <c r="M8" s="578"/>
      <c r="N8" s="579"/>
      <c r="O8" s="17"/>
    </row>
    <row r="9" spans="1:15" s="9" customFormat="1" ht="24" customHeight="1" thickBot="1">
      <c r="A9" s="70"/>
      <c r="B9" s="619"/>
      <c r="C9" s="619"/>
      <c r="D9" s="619"/>
      <c r="E9" s="619"/>
      <c r="F9" s="619"/>
      <c r="G9" s="620"/>
      <c r="H9" s="621"/>
      <c r="I9" s="622"/>
      <c r="J9" s="620"/>
      <c r="K9" s="623"/>
      <c r="L9" s="624"/>
      <c r="M9" s="625"/>
      <c r="N9" s="626"/>
      <c r="O9" s="23"/>
    </row>
    <row r="10" spans="1:15" s="9" customFormat="1" ht="24" customHeight="1">
      <c r="A10" s="611" t="s">
        <v>148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3"/>
      <c r="L10" s="592" t="s">
        <v>149</v>
      </c>
      <c r="M10" s="593"/>
      <c r="N10" s="594"/>
      <c r="O10" s="17"/>
    </row>
    <row r="11" spans="1:15" s="9" customFormat="1" ht="24" customHeight="1">
      <c r="A11" s="24" t="s">
        <v>150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151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152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153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154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155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156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157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158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159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160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161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162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163</v>
      </c>
      <c r="B38" s="3" t="s">
        <v>164</v>
      </c>
      <c r="C38" s="4">
        <f>C2</f>
        <v>112</v>
      </c>
      <c r="D38" s="5" t="s">
        <v>165</v>
      </c>
      <c r="E38" s="4">
        <f>E2</f>
        <v>11</v>
      </c>
      <c r="F38" s="5" t="s">
        <v>166</v>
      </c>
      <c r="G38" s="4">
        <f>G2</f>
        <v>3</v>
      </c>
      <c r="H38" s="5" t="s">
        <v>167</v>
      </c>
      <c r="I38" s="5" t="s">
        <v>168</v>
      </c>
      <c r="J38" s="5" t="str">
        <f>J2</f>
        <v>五</v>
      </c>
      <c r="K38" s="585" t="str">
        <f>'1四日誌'!K38:L38</f>
        <v> 廠商：定緁</v>
      </c>
      <c r="L38" s="585"/>
      <c r="M38" s="586" t="s">
        <v>169</v>
      </c>
      <c r="N38" s="587"/>
    </row>
    <row r="39" spans="1:14" s="9" customFormat="1" ht="28.5" customHeight="1">
      <c r="A39" s="558" t="s">
        <v>170</v>
      </c>
      <c r="B39" s="569" t="s">
        <v>197</v>
      </c>
      <c r="C39" s="569"/>
      <c r="D39" s="569" t="s">
        <v>171</v>
      </c>
      <c r="E39" s="569"/>
      <c r="F39" s="569"/>
      <c r="G39" s="569" t="s">
        <v>172</v>
      </c>
      <c r="H39" s="569"/>
      <c r="I39" s="569"/>
      <c r="J39" s="568" t="s">
        <v>173</v>
      </c>
      <c r="K39" s="568"/>
      <c r="L39" s="568" t="s">
        <v>174</v>
      </c>
      <c r="M39" s="572" t="s">
        <v>216</v>
      </c>
      <c r="N39" s="575" t="s">
        <v>175</v>
      </c>
    </row>
    <row r="40" spans="1:14" s="9" customFormat="1" ht="28.5" customHeight="1">
      <c r="A40" s="588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73"/>
      <c r="N40" s="576"/>
    </row>
    <row r="41" spans="1:14" s="9" customFormat="1" ht="28.5" customHeight="1">
      <c r="A41" s="558" t="s">
        <v>176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3"/>
      <c r="N41" s="576"/>
    </row>
    <row r="42" spans="1:14" s="9" customFormat="1" ht="36" customHeight="1">
      <c r="A42" s="588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74"/>
      <c r="N42" s="576"/>
    </row>
    <row r="43" spans="1:14" s="9" customFormat="1" ht="28.5" customHeight="1">
      <c r="A43" s="169" t="s">
        <v>447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65"/>
      <c r="M43" s="65"/>
      <c r="N43" s="66"/>
    </row>
    <row r="44" spans="1:14" s="9" customFormat="1" ht="28.5" customHeight="1">
      <c r="A44" s="433" t="s">
        <v>510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65"/>
      <c r="M44" s="65"/>
      <c r="N44" s="66"/>
    </row>
    <row r="45" spans="1:14" s="9" customFormat="1" ht="28.5" customHeight="1">
      <c r="A45" s="438" t="s">
        <v>383</v>
      </c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65"/>
      <c r="M45" s="65"/>
      <c r="N45" s="66"/>
    </row>
    <row r="46" spans="1:14" s="9" customFormat="1" ht="28.5" customHeight="1">
      <c r="A46" s="169" t="s">
        <v>384</v>
      </c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65"/>
      <c r="M46" s="65"/>
      <c r="N46" s="66"/>
    </row>
    <row r="47" spans="1:14" s="9" customFormat="1" ht="28.5" customHeight="1">
      <c r="A47" s="432" t="s">
        <v>221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65"/>
      <c r="M47" s="65"/>
      <c r="N47" s="66"/>
    </row>
    <row r="48" spans="1:14" s="9" customFormat="1" ht="28.5" customHeight="1">
      <c r="A48" s="169" t="s">
        <v>460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65"/>
      <c r="M48" s="65"/>
      <c r="N48" s="66"/>
    </row>
    <row r="49" spans="1:14" ht="28.5" customHeight="1">
      <c r="A49" s="169" t="s">
        <v>270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65"/>
      <c r="M49" s="65"/>
      <c r="N49" s="66"/>
    </row>
    <row r="50" spans="1:14" s="9" customFormat="1" ht="28.5" customHeight="1">
      <c r="A50" s="169" t="s">
        <v>298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65"/>
      <c r="M50" s="65"/>
      <c r="N50" s="66"/>
    </row>
    <row r="51" spans="1:14" s="9" customFormat="1" ht="28.5" customHeight="1">
      <c r="A51" s="219" t="s">
        <v>350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65"/>
      <c r="M51" s="65"/>
      <c r="N51" s="66"/>
    </row>
    <row r="52" spans="1:14" s="9" customFormat="1" ht="28.5" customHeight="1">
      <c r="A52" s="169" t="s">
        <v>261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65"/>
      <c r="M52" s="65"/>
      <c r="N52" s="66"/>
    </row>
    <row r="53" spans="1:14" ht="28.5" customHeight="1">
      <c r="A53" s="169" t="s">
        <v>437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65"/>
      <c r="M53" s="65"/>
      <c r="N53" s="66"/>
    </row>
    <row r="54" spans="1:14" s="9" customFormat="1" ht="28.5" customHeight="1">
      <c r="A54" s="259" t="s">
        <v>491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65"/>
      <c r="M54" s="65"/>
      <c r="N54" s="66"/>
    </row>
    <row r="55" spans="1:14" s="9" customFormat="1" ht="28.5" customHeight="1">
      <c r="A55" s="173" t="s">
        <v>330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65"/>
      <c r="M55" s="65"/>
      <c r="N55" s="66"/>
    </row>
    <row r="56" spans="1:14" s="9" customFormat="1" ht="28.5" customHeight="1">
      <c r="A56" s="219" t="s">
        <v>388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65"/>
      <c r="M56" s="65"/>
      <c r="N56" s="66"/>
    </row>
    <row r="57" spans="1:14" s="9" customFormat="1" ht="28.5" customHeight="1">
      <c r="A57" s="169" t="s">
        <v>295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65"/>
      <c r="M57" s="65"/>
      <c r="N57" s="66"/>
    </row>
    <row r="58" spans="1:14" s="9" customFormat="1" ht="28.5" customHeight="1">
      <c r="A58" s="169" t="s">
        <v>296</v>
      </c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65"/>
      <c r="M58" s="65"/>
      <c r="N58" s="66"/>
    </row>
    <row r="59" spans="1:14" s="9" customFormat="1" ht="28.5" customHeight="1">
      <c r="A59" s="169" t="s">
        <v>205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65"/>
      <c r="M59" s="65"/>
      <c r="N59" s="66"/>
    </row>
    <row r="60" spans="1:14" ht="28.5" customHeight="1">
      <c r="A60" s="169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65"/>
      <c r="M60" s="65"/>
      <c r="N60" s="66"/>
    </row>
    <row r="61" spans="1:14" ht="28.5" customHeight="1">
      <c r="A61" s="73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65"/>
      <c r="M61" s="65"/>
      <c r="N61" s="66"/>
    </row>
    <row r="62" spans="1:14" ht="28.5" customHeight="1" thickBot="1">
      <c r="A62" s="74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75"/>
      <c r="M62" s="75"/>
      <c r="N62" s="76"/>
    </row>
    <row r="63" spans="1:14" ht="15.75" customHeight="1">
      <c r="A63" s="644" t="s">
        <v>80</v>
      </c>
      <c r="B63" s="563" t="s">
        <v>177</v>
      </c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</row>
    <row r="64" spans="1:14" ht="21" customHeight="1">
      <c r="A64" s="559"/>
      <c r="B64" s="563" t="s">
        <v>178</v>
      </c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4"/>
    </row>
    <row r="65" spans="1:14" ht="21" customHeight="1" thickBot="1">
      <c r="A65" s="560"/>
      <c r="B65" s="565" t="s">
        <v>179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6"/>
    </row>
    <row r="66" spans="1:15" s="9" customFormat="1" ht="24" customHeight="1">
      <c r="A66" s="62" t="s">
        <v>162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/>
  <mergeCells count="145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B58:C58"/>
    <mergeCell ref="D58:F58"/>
    <mergeCell ref="G58:I58"/>
    <mergeCell ref="J58:K58"/>
    <mergeCell ref="B59:C59"/>
    <mergeCell ref="D59:F59"/>
    <mergeCell ref="G59:I59"/>
    <mergeCell ref="J59:K59"/>
    <mergeCell ref="B60:C60"/>
    <mergeCell ref="D60:F60"/>
    <mergeCell ref="G60:I60"/>
    <mergeCell ref="J60:K60"/>
    <mergeCell ref="B61:C61"/>
    <mergeCell ref="D61:F61"/>
    <mergeCell ref="G61:I61"/>
    <mergeCell ref="J61:K61"/>
    <mergeCell ref="B62:C62"/>
    <mergeCell ref="D62:F62"/>
    <mergeCell ref="G62:I62"/>
    <mergeCell ref="J62:K62"/>
    <mergeCell ref="A63:A65"/>
    <mergeCell ref="B63:N63"/>
    <mergeCell ref="B64:N64"/>
    <mergeCell ref="B65:N65"/>
  </mergeCells>
  <printOptions/>
  <pageMargins left="0.17" right="0.16" top="0.31" bottom="0.17" header="0.31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1">
      <selection activeCell="G3" sqref="G3"/>
    </sheetView>
  </sheetViews>
  <sheetFormatPr defaultColWidth="9.00390625" defaultRowHeight="16.5"/>
  <cols>
    <col min="1" max="1" width="14.25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10.50390625" style="1" customWidth="1"/>
    <col min="12" max="12" width="11.375" style="1" customWidth="1"/>
    <col min="13" max="13" width="12.75390625" style="1" customWidth="1"/>
    <col min="14" max="14" width="9.87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83" t="s">
        <v>202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6" s="9" customFormat="1" ht="24" customHeight="1">
      <c r="A2" s="2" t="s">
        <v>21</v>
      </c>
      <c r="B2" s="3" t="s">
        <v>22</v>
      </c>
      <c r="C2" s="4">
        <v>111</v>
      </c>
      <c r="D2" s="5" t="s">
        <v>23</v>
      </c>
      <c r="E2" s="4">
        <f>'1五日誌'!E2</f>
        <v>11</v>
      </c>
      <c r="F2" s="5" t="s">
        <v>24</v>
      </c>
      <c r="G2" s="4">
        <v>7</v>
      </c>
      <c r="H2" s="5" t="s">
        <v>25</v>
      </c>
      <c r="I2" s="5" t="s">
        <v>26</v>
      </c>
      <c r="J2" s="5" t="s">
        <v>27</v>
      </c>
      <c r="K2" s="6" t="s">
        <v>28</v>
      </c>
      <c r="L2" s="592" t="s">
        <v>29</v>
      </c>
      <c r="M2" s="593"/>
      <c r="N2" s="594"/>
      <c r="O2" s="7"/>
      <c r="P2" s="8"/>
    </row>
    <row r="3" spans="1:15" s="9" customFormat="1" ht="24" customHeight="1" thickBot="1">
      <c r="A3" s="10" t="s">
        <v>30</v>
      </c>
      <c r="B3" s="632" t="s">
        <v>31</v>
      </c>
      <c r="C3" s="596"/>
      <c r="D3" s="596"/>
      <c r="E3" s="633">
        <f>'1四日誌'!E3:F3</f>
        <v>1450</v>
      </c>
      <c r="F3" s="633"/>
      <c r="G3" s="11" t="s">
        <v>32</v>
      </c>
      <c r="H3" s="12"/>
      <c r="I3" s="12"/>
      <c r="J3" s="12"/>
      <c r="K3" s="13"/>
      <c r="L3" s="14" t="s">
        <v>33</v>
      </c>
      <c r="M3" s="15" t="s">
        <v>34</v>
      </c>
      <c r="N3" s="16"/>
      <c r="O3" s="17"/>
    </row>
    <row r="4" spans="1:15" s="9" customFormat="1" ht="24" customHeight="1">
      <c r="A4" s="18" t="str">
        <f>'11月'!$A$10</f>
        <v>小米飯</v>
      </c>
      <c r="B4" s="634" t="s">
        <v>35</v>
      </c>
      <c r="C4" s="635"/>
      <c r="D4" s="635"/>
      <c r="E4" s="635"/>
      <c r="F4" s="635"/>
      <c r="G4" s="635"/>
      <c r="H4" s="635"/>
      <c r="I4" s="635"/>
      <c r="J4" s="635"/>
      <c r="K4" s="636"/>
      <c r="L4" s="68" t="s">
        <v>36</v>
      </c>
      <c r="M4" s="15" t="s">
        <v>37</v>
      </c>
      <c r="N4" s="16"/>
      <c r="O4" s="17"/>
    </row>
    <row r="5" spans="1:15" s="9" customFormat="1" ht="24" customHeight="1">
      <c r="A5" s="77" t="str">
        <f>'11月'!$A$11</f>
        <v>三杯雞</v>
      </c>
      <c r="B5" s="629" t="s">
        <v>38</v>
      </c>
      <c r="C5" s="627"/>
      <c r="D5" s="637" t="s">
        <v>39</v>
      </c>
      <c r="E5" s="638"/>
      <c r="F5" s="638"/>
      <c r="G5" s="629" t="s">
        <v>40</v>
      </c>
      <c r="H5" s="627"/>
      <c r="I5" s="627"/>
      <c r="J5" s="629" t="s">
        <v>41</v>
      </c>
      <c r="K5" s="628"/>
      <c r="L5" s="68" t="s">
        <v>42</v>
      </c>
      <c r="M5" s="15" t="s">
        <v>43</v>
      </c>
      <c r="N5" s="16"/>
      <c r="O5" s="17"/>
    </row>
    <row r="6" spans="1:15" s="9" customFormat="1" ht="24" customHeight="1">
      <c r="A6" s="77" t="str">
        <f>'11月'!$A$12</f>
        <v>*  炒三絲</v>
      </c>
      <c r="B6" s="627">
        <f>'第二周'!C30</f>
        <v>4.3</v>
      </c>
      <c r="C6" s="627"/>
      <c r="D6" s="627">
        <f>'第二周'!C31</f>
        <v>2.2</v>
      </c>
      <c r="E6" s="627"/>
      <c r="F6" s="627"/>
      <c r="G6" s="627">
        <f>'第二周'!C32</f>
        <v>1.1</v>
      </c>
      <c r="H6" s="627"/>
      <c r="I6" s="627"/>
      <c r="J6" s="627">
        <f>'第二周'!C33</f>
        <v>2.5</v>
      </c>
      <c r="K6" s="628"/>
      <c r="L6" s="68" t="s">
        <v>44</v>
      </c>
      <c r="M6" s="15" t="s">
        <v>45</v>
      </c>
      <c r="N6" s="16"/>
      <c r="O6" s="17"/>
    </row>
    <row r="7" spans="1:15" s="9" customFormat="1" ht="24" customHeight="1">
      <c r="A7" s="77" t="str">
        <f>'11月'!A13</f>
        <v>有機青菜</v>
      </c>
      <c r="B7" s="629" t="s">
        <v>46</v>
      </c>
      <c r="C7" s="627"/>
      <c r="D7" s="629" t="s">
        <v>47</v>
      </c>
      <c r="E7" s="627"/>
      <c r="F7" s="627"/>
      <c r="G7" s="629" t="s">
        <v>48</v>
      </c>
      <c r="H7" s="627"/>
      <c r="I7" s="627"/>
      <c r="J7" s="630" t="s">
        <v>49</v>
      </c>
      <c r="K7" s="631"/>
      <c r="L7" s="68" t="s">
        <v>50</v>
      </c>
      <c r="M7" s="20" t="s">
        <v>51</v>
      </c>
      <c r="N7" s="21"/>
      <c r="O7" s="17"/>
    </row>
    <row r="8" spans="1:15" s="9" customFormat="1" ht="24" customHeight="1">
      <c r="A8" s="77" t="str">
        <f>'11月'!A14</f>
        <v>玉米蛋花湯</v>
      </c>
      <c r="B8" s="627">
        <f>'第二周'!C34</f>
        <v>0</v>
      </c>
      <c r="C8" s="627"/>
      <c r="D8" s="627"/>
      <c r="E8" s="627"/>
      <c r="F8" s="627"/>
      <c r="G8" s="627"/>
      <c r="H8" s="627"/>
      <c r="I8" s="627"/>
      <c r="J8" s="627">
        <f>B6*70+D6*75+G6*25+J6*45+B8*60+D8*120+G8*150</f>
        <v>606</v>
      </c>
      <c r="K8" s="628"/>
      <c r="L8" s="578"/>
      <c r="M8" s="578"/>
      <c r="N8" s="579"/>
      <c r="O8" s="17"/>
    </row>
    <row r="9" spans="1:15" s="9" customFormat="1" ht="24" customHeight="1" thickBot="1">
      <c r="A9" s="22"/>
      <c r="B9" s="619"/>
      <c r="C9" s="619"/>
      <c r="D9" s="619"/>
      <c r="E9" s="619"/>
      <c r="F9" s="619"/>
      <c r="G9" s="619"/>
      <c r="H9" s="619"/>
      <c r="I9" s="619"/>
      <c r="J9" s="619"/>
      <c r="K9" s="657"/>
      <c r="L9" s="625"/>
      <c r="M9" s="625"/>
      <c r="N9" s="626"/>
      <c r="O9" s="23"/>
    </row>
    <row r="10" spans="1:15" s="9" customFormat="1" ht="24" customHeight="1">
      <c r="A10" s="639" t="s">
        <v>52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1"/>
      <c r="L10" s="592" t="s">
        <v>53</v>
      </c>
      <c r="M10" s="593"/>
      <c r="N10" s="594"/>
      <c r="O10" s="17"/>
    </row>
    <row r="11" spans="1:15" s="9" customFormat="1" ht="24" customHeight="1">
      <c r="A11" s="24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614"/>
      <c r="M11" s="615"/>
      <c r="N11" s="616"/>
      <c r="O11" s="17"/>
    </row>
    <row r="12" spans="1:15" s="9" customFormat="1" ht="24" customHeight="1">
      <c r="A12" s="27" t="s">
        <v>55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603"/>
      <c r="M12" s="604"/>
      <c r="N12" s="605"/>
      <c r="O12" s="17"/>
    </row>
    <row r="13" spans="1:15" s="9" customFormat="1" ht="24" customHeight="1">
      <c r="A13" s="27" t="s">
        <v>56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03"/>
      <c r="M13" s="604"/>
      <c r="N13" s="605"/>
      <c r="O13" s="17"/>
    </row>
    <row r="14" spans="1:15" s="9" customFormat="1" ht="24" customHeight="1">
      <c r="A14" s="617" t="s">
        <v>57</v>
      </c>
      <c r="B14" s="599"/>
      <c r="C14" s="599"/>
      <c r="D14" s="600"/>
      <c r="E14" s="618" t="s">
        <v>58</v>
      </c>
      <c r="F14" s="599"/>
      <c r="G14" s="599"/>
      <c r="H14" s="599"/>
      <c r="I14" s="599"/>
      <c r="J14" s="599"/>
      <c r="K14" s="602"/>
      <c r="L14" s="603"/>
      <c r="M14" s="604"/>
      <c r="N14" s="605"/>
      <c r="O14" s="30"/>
    </row>
    <row r="15" spans="1:15" s="9" customFormat="1" ht="24" customHeight="1">
      <c r="A15" s="598"/>
      <c r="B15" s="599"/>
      <c r="C15" s="599"/>
      <c r="D15" s="600"/>
      <c r="E15" s="601"/>
      <c r="F15" s="599"/>
      <c r="G15" s="599"/>
      <c r="H15" s="599"/>
      <c r="I15" s="599"/>
      <c r="J15" s="599"/>
      <c r="K15" s="602"/>
      <c r="L15" s="603"/>
      <c r="M15" s="604"/>
      <c r="N15" s="605"/>
      <c r="O15" s="31"/>
    </row>
    <row r="16" spans="1:15" s="9" customFormat="1" ht="24" customHeight="1">
      <c r="A16" s="27" t="s">
        <v>59</v>
      </c>
      <c r="B16" s="32"/>
      <c r="C16" s="32"/>
      <c r="D16" s="32"/>
      <c r="E16" s="32"/>
      <c r="F16" s="33"/>
      <c r="G16" s="34" t="s">
        <v>60</v>
      </c>
      <c r="H16" s="33"/>
      <c r="I16" s="33"/>
      <c r="J16" s="35"/>
      <c r="K16" s="36"/>
      <c r="L16" s="606"/>
      <c r="M16" s="607"/>
      <c r="N16" s="608"/>
      <c r="O16" s="37"/>
    </row>
    <row r="17" spans="1:15" s="9" customFormat="1" ht="24" customHeight="1">
      <c r="A17" s="27" t="s">
        <v>61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609"/>
      <c r="K25" s="610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606"/>
      <c r="M26" s="607"/>
      <c r="N26" s="608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9"/>
      <c r="M27" s="590"/>
      <c r="N27" s="591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92" t="s">
        <v>62</v>
      </c>
      <c r="M28" s="593"/>
      <c r="N28" s="594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95" t="s">
        <v>63</v>
      </c>
      <c r="M29" s="596"/>
      <c r="N29" s="597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77" t="s">
        <v>64</v>
      </c>
      <c r="M30" s="578"/>
      <c r="N30" s="579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77" t="s">
        <v>65</v>
      </c>
      <c r="M31" s="578"/>
      <c r="N31" s="579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77" t="s">
        <v>66</v>
      </c>
      <c r="M32" s="578"/>
      <c r="N32" s="579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77" t="s">
        <v>67</v>
      </c>
      <c r="M33" s="578"/>
      <c r="N33" s="579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0" t="s">
        <v>68</v>
      </c>
      <c r="M34" s="581"/>
      <c r="N34" s="582"/>
      <c r="O34" s="61"/>
    </row>
    <row r="35" s="9" customFormat="1" ht="16.5" customHeight="1" hidden="1"/>
    <row r="36" spans="1:15" s="9" customFormat="1" ht="24" customHeight="1">
      <c r="A36" s="62" t="s">
        <v>69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83" t="s">
        <v>203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</row>
    <row r="38" spans="1:14" s="9" customFormat="1" ht="28.5" customHeight="1">
      <c r="A38" s="64" t="s">
        <v>226</v>
      </c>
      <c r="B38" s="3" t="s">
        <v>22</v>
      </c>
      <c r="C38" s="5">
        <f>C2</f>
        <v>111</v>
      </c>
      <c r="D38" s="5" t="s">
        <v>23</v>
      </c>
      <c r="E38" s="5">
        <f>E2</f>
        <v>11</v>
      </c>
      <c r="F38" s="5" t="s">
        <v>24</v>
      </c>
      <c r="G38" s="5">
        <f>G2</f>
        <v>7</v>
      </c>
      <c r="H38" s="5" t="s">
        <v>25</v>
      </c>
      <c r="I38" s="5" t="s">
        <v>26</v>
      </c>
      <c r="J38" s="5" t="str">
        <f>J2</f>
        <v>一</v>
      </c>
      <c r="K38" s="585" t="str">
        <f>'1五日誌'!K38:L38</f>
        <v> 廠商：定緁</v>
      </c>
      <c r="L38" s="585"/>
      <c r="M38" s="585" t="s">
        <v>227</v>
      </c>
      <c r="N38" s="656"/>
    </row>
    <row r="39" spans="1:14" s="9" customFormat="1" ht="28.5" customHeight="1">
      <c r="A39" s="558" t="s">
        <v>72</v>
      </c>
      <c r="B39" s="654" t="s">
        <v>228</v>
      </c>
      <c r="C39" s="654"/>
      <c r="D39" s="654" t="s">
        <v>229</v>
      </c>
      <c r="E39" s="654"/>
      <c r="F39" s="654"/>
      <c r="G39" s="654" t="s">
        <v>230</v>
      </c>
      <c r="H39" s="654"/>
      <c r="I39" s="654"/>
      <c r="J39" s="653" t="s">
        <v>231</v>
      </c>
      <c r="K39" s="653"/>
      <c r="L39" s="653" t="s">
        <v>232</v>
      </c>
      <c r="M39" s="572" t="s">
        <v>216</v>
      </c>
      <c r="N39" s="575" t="s">
        <v>77</v>
      </c>
    </row>
    <row r="40" spans="1:14" s="9" customFormat="1" ht="28.5" customHeight="1">
      <c r="A40" s="588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573"/>
      <c r="N40" s="655"/>
    </row>
    <row r="41" spans="1:14" s="9" customFormat="1" ht="28.5" customHeight="1">
      <c r="A41" s="558" t="s">
        <v>78</v>
      </c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573"/>
      <c r="N41" s="655"/>
    </row>
    <row r="42" spans="1:14" s="9" customFormat="1" ht="34.5" customHeight="1">
      <c r="A42" s="588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574"/>
      <c r="N42" s="655"/>
    </row>
    <row r="43" spans="1:14" s="9" customFormat="1" ht="28.5" customHeight="1">
      <c r="A43" s="169" t="s">
        <v>252</v>
      </c>
      <c r="B43" s="652"/>
      <c r="C43" s="652"/>
      <c r="D43" s="652"/>
      <c r="E43" s="652"/>
      <c r="F43" s="652"/>
      <c r="G43" s="652"/>
      <c r="H43" s="652"/>
      <c r="I43" s="652"/>
      <c r="J43" s="652"/>
      <c r="K43" s="652"/>
      <c r="L43" s="174"/>
      <c r="M43" s="174"/>
      <c r="N43" s="175"/>
    </row>
    <row r="44" spans="1:14" s="9" customFormat="1" ht="28.5" customHeight="1">
      <c r="A44" s="219" t="s">
        <v>288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174"/>
      <c r="M44" s="174"/>
      <c r="N44" s="175"/>
    </row>
    <row r="45" spans="1:14" s="9" customFormat="1" ht="28.5" customHeight="1">
      <c r="A45" s="169" t="s">
        <v>307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174"/>
      <c r="M45" s="174"/>
      <c r="N45" s="175"/>
    </row>
    <row r="46" spans="1:17" s="9" customFormat="1" ht="28.5" customHeight="1">
      <c r="A46" s="85" t="s">
        <v>333</v>
      </c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174"/>
      <c r="M46" s="174"/>
      <c r="N46" s="175"/>
      <c r="Q46" s="9" t="s">
        <v>79</v>
      </c>
    </row>
    <row r="47" spans="1:14" s="9" customFormat="1" ht="28.5" customHeight="1">
      <c r="A47" s="85" t="s">
        <v>221</v>
      </c>
      <c r="B47" s="652"/>
      <c r="C47" s="652"/>
      <c r="D47" s="652"/>
      <c r="E47" s="652"/>
      <c r="F47" s="652"/>
      <c r="G47" s="652"/>
      <c r="H47" s="652"/>
      <c r="I47" s="652"/>
      <c r="J47" s="652"/>
      <c r="K47" s="652"/>
      <c r="L47" s="174"/>
      <c r="M47" s="174"/>
      <c r="N47" s="175"/>
    </row>
    <row r="48" spans="1:14" s="9" customFormat="1" ht="28.5" customHeight="1">
      <c r="A48" s="219" t="s">
        <v>325</v>
      </c>
      <c r="B48" s="652"/>
      <c r="C48" s="652"/>
      <c r="D48" s="652"/>
      <c r="E48" s="652"/>
      <c r="F48" s="652"/>
      <c r="G48" s="652"/>
      <c r="H48" s="652"/>
      <c r="I48" s="652"/>
      <c r="J48" s="652"/>
      <c r="K48" s="652"/>
      <c r="L48" s="174"/>
      <c r="M48" s="174"/>
      <c r="N48" s="175"/>
    </row>
    <row r="49" spans="1:14" ht="28.5" customHeight="1">
      <c r="A49" s="85" t="s">
        <v>308</v>
      </c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174"/>
      <c r="M49" s="174"/>
      <c r="N49" s="175"/>
    </row>
    <row r="50" spans="1:14" s="9" customFormat="1" ht="28.5" customHeight="1">
      <c r="A50" s="84" t="s">
        <v>309</v>
      </c>
      <c r="B50" s="652"/>
      <c r="C50" s="652"/>
      <c r="D50" s="652"/>
      <c r="E50" s="652"/>
      <c r="F50" s="652"/>
      <c r="G50" s="652"/>
      <c r="H50" s="652"/>
      <c r="I50" s="652"/>
      <c r="J50" s="652"/>
      <c r="K50" s="652"/>
      <c r="L50" s="174"/>
      <c r="M50" s="174"/>
      <c r="N50" s="175"/>
    </row>
    <row r="51" spans="1:14" s="9" customFormat="1" ht="28.5" customHeight="1">
      <c r="A51" s="220" t="s">
        <v>334</v>
      </c>
      <c r="B51" s="652"/>
      <c r="C51" s="652"/>
      <c r="D51" s="652"/>
      <c r="E51" s="652"/>
      <c r="F51" s="652"/>
      <c r="G51" s="652"/>
      <c r="H51" s="652"/>
      <c r="I51" s="652"/>
      <c r="J51" s="652"/>
      <c r="K51" s="652"/>
      <c r="L51" s="174"/>
      <c r="M51" s="174"/>
      <c r="N51" s="175"/>
    </row>
    <row r="52" spans="1:14" s="9" customFormat="1" ht="28.5" customHeight="1">
      <c r="A52" s="85" t="s">
        <v>310</v>
      </c>
      <c r="B52" s="652"/>
      <c r="C52" s="652"/>
      <c r="D52" s="652"/>
      <c r="E52" s="652"/>
      <c r="F52" s="652"/>
      <c r="G52" s="652"/>
      <c r="H52" s="652"/>
      <c r="I52" s="652"/>
      <c r="J52" s="652"/>
      <c r="K52" s="652"/>
      <c r="L52" s="174"/>
      <c r="M52" s="174"/>
      <c r="N52" s="175"/>
    </row>
    <row r="53" spans="1:14" ht="28.5" customHeight="1">
      <c r="A53" s="85" t="s">
        <v>332</v>
      </c>
      <c r="B53" s="652"/>
      <c r="C53" s="652"/>
      <c r="D53" s="652"/>
      <c r="E53" s="652"/>
      <c r="F53" s="652"/>
      <c r="G53" s="652"/>
      <c r="H53" s="652"/>
      <c r="I53" s="652"/>
      <c r="J53" s="652"/>
      <c r="K53" s="652"/>
      <c r="L53" s="174"/>
      <c r="M53" s="174"/>
      <c r="N53" s="175"/>
    </row>
    <row r="54" spans="1:14" s="9" customFormat="1" ht="28.5" customHeight="1">
      <c r="A54" s="219" t="s">
        <v>328</v>
      </c>
      <c r="B54" s="652"/>
      <c r="C54" s="652"/>
      <c r="D54" s="652"/>
      <c r="E54" s="652"/>
      <c r="F54" s="652"/>
      <c r="G54" s="652"/>
      <c r="H54" s="652"/>
      <c r="I54" s="652"/>
      <c r="J54" s="652"/>
      <c r="K54" s="652"/>
      <c r="L54" s="174"/>
      <c r="M54" s="174"/>
      <c r="N54" s="175"/>
    </row>
    <row r="55" spans="1:14" s="9" customFormat="1" ht="28.5" customHeight="1">
      <c r="A55" s="170" t="s">
        <v>9</v>
      </c>
      <c r="B55" s="652"/>
      <c r="C55" s="652"/>
      <c r="D55" s="652"/>
      <c r="E55" s="652"/>
      <c r="F55" s="652"/>
      <c r="G55" s="652"/>
      <c r="H55" s="652"/>
      <c r="I55" s="652"/>
      <c r="J55" s="652"/>
      <c r="K55" s="652"/>
      <c r="L55" s="174"/>
      <c r="M55" s="174"/>
      <c r="N55" s="175"/>
    </row>
    <row r="56" spans="1:14" s="9" customFormat="1" ht="28.5" customHeight="1">
      <c r="A56" s="85"/>
      <c r="B56" s="652"/>
      <c r="C56" s="652"/>
      <c r="D56" s="652"/>
      <c r="E56" s="652"/>
      <c r="F56" s="652"/>
      <c r="G56" s="652"/>
      <c r="H56" s="652"/>
      <c r="I56" s="652"/>
      <c r="J56" s="652"/>
      <c r="K56" s="652"/>
      <c r="L56" s="174"/>
      <c r="M56" s="174"/>
      <c r="N56" s="175"/>
    </row>
    <row r="57" spans="1:14" s="9" customFormat="1" ht="28.5" customHeight="1">
      <c r="A57" s="176"/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174"/>
      <c r="M57" s="174"/>
      <c r="N57" s="175"/>
    </row>
    <row r="58" spans="1:14" s="9" customFormat="1" ht="28.5" customHeight="1">
      <c r="A58" s="204"/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174"/>
      <c r="M58" s="174"/>
      <c r="N58" s="175"/>
    </row>
    <row r="59" spans="1:14" s="9" customFormat="1" ht="28.5" customHeight="1">
      <c r="A59" s="176"/>
      <c r="B59" s="652"/>
      <c r="C59" s="652"/>
      <c r="D59" s="652"/>
      <c r="E59" s="652"/>
      <c r="F59" s="652"/>
      <c r="G59" s="652"/>
      <c r="H59" s="652"/>
      <c r="I59" s="652"/>
      <c r="J59" s="652"/>
      <c r="K59" s="652"/>
      <c r="L59" s="174"/>
      <c r="M59" s="174"/>
      <c r="N59" s="175"/>
    </row>
    <row r="60" spans="1:14" ht="28.5" customHeight="1">
      <c r="A60" s="177"/>
      <c r="B60" s="652"/>
      <c r="C60" s="652"/>
      <c r="D60" s="652"/>
      <c r="E60" s="652"/>
      <c r="F60" s="652"/>
      <c r="G60" s="652"/>
      <c r="H60" s="652"/>
      <c r="I60" s="652"/>
      <c r="J60" s="652"/>
      <c r="K60" s="652"/>
      <c r="L60" s="174"/>
      <c r="M60" s="174"/>
      <c r="N60" s="175"/>
    </row>
    <row r="61" spans="1:14" ht="28.5" customHeight="1">
      <c r="A61" s="178"/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174"/>
      <c r="M61" s="174"/>
      <c r="N61" s="175"/>
    </row>
    <row r="62" spans="1:14" ht="28.5" customHeight="1">
      <c r="A62" s="558" t="s">
        <v>80</v>
      </c>
      <c r="B62" s="646" t="s">
        <v>233</v>
      </c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646"/>
      <c r="N62" s="647"/>
    </row>
    <row r="63" spans="1:14" ht="28.5" customHeight="1">
      <c r="A63" s="644"/>
      <c r="B63" s="648" t="s">
        <v>234</v>
      </c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9"/>
    </row>
    <row r="64" spans="1:14" ht="28.5" customHeight="1" thickBot="1">
      <c r="A64" s="645"/>
      <c r="B64" s="650" t="s">
        <v>235</v>
      </c>
      <c r="C64" s="650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1"/>
    </row>
    <row r="65" spans="1:15" s="9" customFormat="1" ht="24" customHeight="1">
      <c r="A65" s="62" t="s">
        <v>69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J39:K42"/>
    <mergeCell ref="L39:L42"/>
    <mergeCell ref="M39:M42"/>
    <mergeCell ref="N39:N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</mergeCells>
  <printOptions/>
  <pageMargins left="0.2" right="0.18" top="0.2" bottom="0.26" header="0.37" footer="0.26"/>
  <pageSetup horizontalDpi="600" verticalDpi="600" orientation="portrait" paperSize="9" scale="99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2023-10-30T03:50:54Z</cp:lastPrinted>
  <dcterms:created xsi:type="dcterms:W3CDTF">2014-08-13T02:32:39Z</dcterms:created>
  <dcterms:modified xsi:type="dcterms:W3CDTF">2023-11-01T07:34:52Z</dcterms:modified>
  <cp:category/>
  <cp:version/>
  <cp:contentType/>
  <cp:contentStatus/>
</cp:coreProperties>
</file>