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45" windowHeight="6045" activeTab="0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definedNames>
    <definedName name="_xlfn.SINGLE" hidden="1">#NAME?</definedName>
    <definedName name="_xlnm.Print_Area" localSheetId="0">'第一周'!$A$1:$AI$35</definedName>
    <definedName name="_xlnm.Print_Area" localSheetId="1">'第二週'!$A$1:$AI$34</definedName>
    <definedName name="_xlnm.Print_Area" localSheetId="2">'第三周 '!$A$1:$AI$34</definedName>
    <definedName name="_xlnm.Print_Area" localSheetId="4">'第五周'!$A$1:$AI$34</definedName>
    <definedName name="_xlnm.Print_Area" localSheetId="3">'第四周'!$A$1:$AI$34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F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600G/</t>
        </r>
        <r>
          <rPr>
            <sz val="9"/>
            <rFont val="細明體"/>
            <family val="3"/>
          </rPr>
          <t>包不可拆</t>
        </r>
      </text>
    </comment>
  </commentList>
</comments>
</file>

<file path=xl/sharedStrings.xml><?xml version="1.0" encoding="utf-8"?>
<sst xmlns="http://schemas.openxmlformats.org/spreadsheetml/2006/main" count="1550" uniqueCount="306">
  <si>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</si>
  <si>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</si>
  <si>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</si>
  <si>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</si>
  <si>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</si>
  <si>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</si>
  <si>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</si>
  <si>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</si>
  <si>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</si>
  <si>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</si>
  <si>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</si>
  <si>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</si>
  <si>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統一鮮奶2L</t>
  </si>
  <si>
    <t>統一鮮奶2L(低脂</t>
  </si>
  <si>
    <t>統一鮮奶(低脂2L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</si>
  <si>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</si>
  <si>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</si>
  <si>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</si>
  <si>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</si>
  <si>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</si>
  <si>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</si>
  <si>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</si>
  <si>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</si>
  <si>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</si>
  <si>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</si>
  <si>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</si>
  <si>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</si>
  <si>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</si>
  <si>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</si>
  <si>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</si>
  <si>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</si>
  <si>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</si>
  <si>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</si>
  <si>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</si>
  <si>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</si>
  <si>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</si>
  <si>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</si>
  <si>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</si>
  <si>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</si>
  <si>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</si>
  <si>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</si>
  <si>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</si>
  <si>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</si>
  <si>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</si>
  <si>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</si>
  <si>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</si>
  <si>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</si>
  <si>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</si>
  <si>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</si>
  <si>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</si>
  <si>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</si>
  <si>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</si>
  <si>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</si>
  <si>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</si>
  <si>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</si>
  <si>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</si>
  <si>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</si>
  <si>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</si>
  <si>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</si>
  <si>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</si>
  <si>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</si>
  <si>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黃金奇異果</t>
  </si>
  <si>
    <t>紅蘿蔔</t>
  </si>
  <si>
    <t>紅蘿蔔</t>
  </si>
  <si>
    <t>吐司(長)</t>
  </si>
  <si>
    <t>條</t>
  </si>
  <si>
    <t>砂糖</t>
  </si>
  <si>
    <t>水7000c.c.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</si>
  <si>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</si>
  <si>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</si>
  <si>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</si>
  <si>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</si>
  <si>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</si>
  <si>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</si>
  <si>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</si>
  <si>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</si>
  <si>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三環麵線0.6K</t>
  </si>
  <si>
    <t>山藥</t>
  </si>
  <si>
    <t>金針菇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</si>
  <si>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</si>
  <si>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</si>
  <si>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</si>
  <si>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</si>
  <si>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</si>
  <si>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</si>
  <si>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</si>
  <si>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</si>
  <si>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</si>
  <si>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</si>
  <si>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</si>
  <si>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</si>
  <si>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小香菇</t>
  </si>
  <si>
    <t>紅蔥頭0.2</t>
  </si>
  <si>
    <t>大水梨</t>
  </si>
  <si>
    <t>大白菜</t>
  </si>
  <si>
    <t>低脂絞肉(0.5K)</t>
  </si>
  <si>
    <t>光泉低糖豆漿(約2公升)</t>
  </si>
  <si>
    <t>統一優酪乳(約2公升)</t>
  </si>
  <si>
    <t>前一天先進</t>
  </si>
  <si>
    <t>果凍食材</t>
  </si>
  <si>
    <t>袖珍菇</t>
  </si>
  <si>
    <t>雞胸片</t>
  </si>
  <si>
    <t>白麵</t>
  </si>
  <si>
    <t>麻油雞湯麵</t>
  </si>
  <si>
    <t>馬鈴薯</t>
  </si>
  <si>
    <t>玉米醬綠巨人</t>
  </si>
  <si>
    <t>洋菇</t>
  </si>
  <si>
    <t>肉絲蛋炒飯</t>
  </si>
  <si>
    <t>百香果</t>
  </si>
  <si>
    <t>洋菜條:水=1包:3500c.c.</t>
  </si>
  <si>
    <t>自製水果凍</t>
  </si>
  <si>
    <t>餛飩麵</t>
  </si>
  <si>
    <t>桂冠雲吞12入</t>
  </si>
  <si>
    <t>盒</t>
  </si>
  <si>
    <t>小白菜</t>
  </si>
  <si>
    <t>包</t>
  </si>
  <si>
    <t>金針菇</t>
  </si>
  <si>
    <t>柴魚片 5G</t>
  </si>
  <si>
    <t>白莧菜</t>
  </si>
  <si>
    <t>吻仔魚</t>
  </si>
  <si>
    <t>中華盒裝豆腐</t>
  </si>
  <si>
    <t>牛番茄</t>
  </si>
  <si>
    <t>義式香料</t>
  </si>
  <si>
    <t>芋頭西米露 / 水果</t>
  </si>
  <si>
    <t>芋頭去皮</t>
  </si>
  <si>
    <t>西谷米</t>
  </si>
  <si>
    <t>(煮稀,水放少以牛奶為主)</t>
  </si>
  <si>
    <t>炒年糕</t>
  </si>
  <si>
    <t>寧波年糕(0.5K)</t>
  </si>
  <si>
    <t>小木耳</t>
  </si>
  <si>
    <t>低脂肉絲0.5K</t>
  </si>
  <si>
    <t>南瓜濃湯</t>
  </si>
  <si>
    <t>南瓜</t>
  </si>
  <si>
    <t>瓠瓜鮮菇粥</t>
  </si>
  <si>
    <t>糙米</t>
  </si>
  <si>
    <t>庫</t>
  </si>
  <si>
    <t>白米</t>
  </si>
  <si>
    <t>低脂絞肉(1K)cas</t>
  </si>
  <si>
    <t>鮑魚菇</t>
  </si>
  <si>
    <t>胡椒粉262G</t>
  </si>
  <si>
    <t>芹菜</t>
  </si>
  <si>
    <t>肉醬義大利麵</t>
  </si>
  <si>
    <t>低脂絞肉(1K)</t>
  </si>
  <si>
    <t>玉米筍</t>
  </si>
  <si>
    <t>冷凍青花椰</t>
  </si>
  <si>
    <t>番茄醬(340G)</t>
  </si>
  <si>
    <t>中卷米粉</t>
  </si>
  <si>
    <t>紅蔥頭(先送)</t>
  </si>
  <si>
    <t>柴魚片5G</t>
  </si>
  <si>
    <t>小包</t>
  </si>
  <si>
    <t>酸辣湯麵</t>
  </si>
  <si>
    <t>洋蔥去皮</t>
  </si>
  <si>
    <t>高麗菜</t>
  </si>
  <si>
    <t>紅蔥頭(先送)</t>
  </si>
  <si>
    <t>玉米粒綠巨人</t>
  </si>
  <si>
    <t>蘑菇濃湯</t>
  </si>
  <si>
    <t>奇美熟水餃(200)</t>
  </si>
  <si>
    <t>(高麗菜水餃)</t>
  </si>
  <si>
    <t>紫米紅豆珍珠奶</t>
  </si>
  <si>
    <t>紅豆1K</t>
  </si>
  <si>
    <t>瓜瓜園地瓜珍珠圓</t>
  </si>
  <si>
    <t>紫米0.3K</t>
  </si>
  <si>
    <t>黑糖(450G)</t>
  </si>
  <si>
    <t>(牛奶供應前加)</t>
  </si>
  <si>
    <t>低脂肉絲(0.5K)</t>
  </si>
  <si>
    <t>煎餃 / 優酪乳</t>
  </si>
  <si>
    <t xml:space="preserve">吐司夾鮪魚蛋   </t>
  </si>
  <si>
    <t>糙米0.4</t>
  </si>
  <si>
    <r>
      <t>三環麵線</t>
    </r>
    <r>
      <rPr>
        <sz val="12"/>
        <rFont val="Times New Roman"/>
        <family val="1"/>
      </rPr>
      <t>0.6K</t>
    </r>
  </si>
  <si>
    <t>起司玉米蛋餅 / 鮮奶米漿</t>
  </si>
  <si>
    <t>乾白木耳先送</t>
  </si>
  <si>
    <t>黑糖450G庫2包</t>
  </si>
  <si>
    <t>桂圓乾(先送)</t>
  </si>
  <si>
    <t>大盒</t>
  </si>
  <si>
    <t>鮭魚蛋炒飯</t>
  </si>
  <si>
    <t>鮭魚片</t>
  </si>
  <si>
    <t>小番茄</t>
  </si>
  <si>
    <t>青江菜</t>
  </si>
  <si>
    <t>玉米濃湯  /  水果</t>
  </si>
  <si>
    <t xml:space="preserve">起司肉末粥 </t>
  </si>
  <si>
    <t>低脂絞肉(0.6K)</t>
  </si>
  <si>
    <t>什錦炒米粉</t>
  </si>
  <si>
    <t>蘿蔔糕炒蛋  /  豆漿鮮奶</t>
  </si>
  <si>
    <t>低脂肉片0.6</t>
  </si>
  <si>
    <t>【本校一律使用國產豬、牛肉食材】</t>
  </si>
  <si>
    <t>乾海帶芽600G</t>
  </si>
  <si>
    <t>洗選蛋(盒</t>
  </si>
  <si>
    <t>二砂1K(台糖</t>
  </si>
  <si>
    <t>鴻禧菇100G</t>
  </si>
  <si>
    <t>乾米粉250G</t>
  </si>
  <si>
    <t>港式蘿蔔糕1.2K</t>
  </si>
  <si>
    <t>清腿丁</t>
  </si>
  <si>
    <t>桂冠蛋餅皮7入</t>
  </si>
  <si>
    <t>光泉米漿1L</t>
  </si>
  <si>
    <t>起司片12入</t>
  </si>
  <si>
    <t>哈密瓜</t>
  </si>
  <si>
    <t>鳳梨</t>
  </si>
  <si>
    <t>鳳梨底部不發黴</t>
  </si>
  <si>
    <t>饅頭夾蛋  /  豆漿鮮奶</t>
  </si>
  <si>
    <t>小白油麵</t>
  </si>
  <si>
    <t>芒果</t>
  </si>
  <si>
    <t>銀魚莧菜羹 / 水果</t>
  </si>
  <si>
    <t>豆漿(約1升)</t>
  </si>
  <si>
    <t>週午餐食譜設計表</t>
  </si>
  <si>
    <t>(煮乾的)</t>
  </si>
  <si>
    <t>桂冠小饅頭40G</t>
  </si>
  <si>
    <t>扁蒲去皮</t>
  </si>
  <si>
    <t>洋菜(1兩/包)</t>
  </si>
  <si>
    <t>什錦炒米苔目</t>
  </si>
  <si>
    <t>米苔目</t>
  </si>
  <si>
    <t>什錦炒麵</t>
  </si>
  <si>
    <t>瓠瓜肉絲粥</t>
  </si>
  <si>
    <t>白米2.4k</t>
  </si>
  <si>
    <t>低脂肉絲cas(1K)</t>
  </si>
  <si>
    <t>吐司(短)</t>
  </si>
  <si>
    <t>低脂肉絲cas庫0.5</t>
  </si>
  <si>
    <t>小木耳</t>
  </si>
  <si>
    <t>低脂肉絲1K</t>
  </si>
  <si>
    <t>瓠瓜</t>
  </si>
  <si>
    <t>青蔥</t>
  </si>
  <si>
    <t>紅蔥頭</t>
  </si>
  <si>
    <t>西芹</t>
  </si>
  <si>
    <t>香菇</t>
  </si>
  <si>
    <t>紅蔥頭</t>
  </si>
  <si>
    <t>綠豆芽</t>
  </si>
  <si>
    <t>韭菜</t>
  </si>
  <si>
    <t>洋蔥</t>
  </si>
  <si>
    <t>水果拼盤 / 鮮奶</t>
  </si>
  <si>
    <t>綠豆</t>
  </si>
  <si>
    <r>
      <rPr>
        <sz val="12"/>
        <color indexed="8"/>
        <rFont val="微軟正黑體"/>
        <family val="2"/>
      </rPr>
      <t>庫</t>
    </r>
  </si>
  <si>
    <t>小餐包   /   鮮奶米漿</t>
  </si>
  <si>
    <t>小餐包</t>
  </si>
  <si>
    <t>份</t>
  </si>
  <si>
    <t xml:space="preserve">水果優格 </t>
  </si>
  <si>
    <t>原味優格(福樂</t>
  </si>
  <si>
    <t>杯</t>
  </si>
  <si>
    <r>
      <rPr>
        <sz val="12"/>
        <color indexed="8"/>
        <rFont val="微軟正黑體"/>
        <family val="2"/>
      </rPr>
      <t>包</t>
    </r>
  </si>
  <si>
    <t>糙米漿家庭號1L)</t>
  </si>
  <si>
    <t>鮮奶1L</t>
  </si>
  <si>
    <t>米漿鮮奶混合</t>
  </si>
  <si>
    <t>肉片吐司 / 優酪乳</t>
  </si>
  <si>
    <t>木須炒麵疙瘩</t>
  </si>
  <si>
    <t>麵疙瘩</t>
  </si>
  <si>
    <t>洗選蛋CAS(盒</t>
  </si>
  <si>
    <t>小木耳Q</t>
  </si>
  <si>
    <t>肉絲</t>
  </si>
  <si>
    <t>小白菜</t>
  </si>
  <si>
    <t>木耳</t>
  </si>
  <si>
    <t>蛤蠣雞湯麵</t>
  </si>
  <si>
    <t>骨腿丁</t>
  </si>
  <si>
    <t>蛤蠣大</t>
  </si>
  <si>
    <t>蒜頭</t>
  </si>
  <si>
    <t>白蘿蔔去皮</t>
  </si>
  <si>
    <t>金煌芒果(大)</t>
  </si>
  <si>
    <t>火鍋肉片</t>
  </si>
  <si>
    <t>光泉鮮奶2L</t>
  </si>
  <si>
    <r>
      <t>光泉</t>
    </r>
    <r>
      <rPr>
        <sz val="12"/>
        <color indexed="10"/>
        <rFont val="微軟正黑體"/>
        <family val="2"/>
      </rPr>
      <t>鮮奶2L</t>
    </r>
  </si>
  <si>
    <t>洋芋去皮</t>
  </si>
  <si>
    <t>玉米粒CAS</t>
  </si>
  <si>
    <t>光泉鮮奶1L</t>
  </si>
  <si>
    <t>光泉鮮奶2L(低脂</t>
  </si>
  <si>
    <t>苦茶油赤肉麵線</t>
  </si>
  <si>
    <t>苦茶油(小0.6-1L)</t>
  </si>
  <si>
    <t>僑愛國民小學附幼111學年度下學期第</t>
  </si>
  <si>
    <t>週點心食譜設計表</t>
  </si>
  <si>
    <t xml:space="preserve"> 僑愛國小幼兒園112年5月點心菜單</t>
  </si>
  <si>
    <t>低糖豆漿(約1公升)</t>
  </si>
  <si>
    <t>饅頭夾蔥蛋  /  豆漿鮮奶</t>
  </si>
  <si>
    <t>養樂多9罐</t>
  </si>
  <si>
    <t>養樂多6罐</t>
  </si>
  <si>
    <t>鮪魚罐小(90g)</t>
  </si>
  <si>
    <t>顆</t>
  </si>
  <si>
    <t>桂冠餡餅</t>
  </si>
  <si>
    <t>香蕉(1根/人)</t>
  </si>
  <si>
    <t>鮮奶(936ML)</t>
  </si>
  <si>
    <t>餡餅 / 香蕉鮮奶</t>
  </si>
  <si>
    <t>小一點</t>
  </si>
  <si>
    <t>統一藍莓貝果</t>
  </si>
  <si>
    <t>愛心牛奶球</t>
  </si>
  <si>
    <t>100%果汁</t>
  </si>
  <si>
    <t>(義美寶吉)</t>
  </si>
  <si>
    <t>校外教學-西點</t>
  </si>
  <si>
    <t xml:space="preserve">香菇雞麵 </t>
  </si>
  <si>
    <t>巧好水煎包</t>
  </si>
  <si>
    <t xml:space="preserve"> 水煎包 / 水果 / 牛奶</t>
  </si>
  <si>
    <t>魷魚耳</t>
  </si>
  <si>
    <t>肉片蛋拌麵線 / 米漿鮮奶</t>
  </si>
  <si>
    <t>水果優格</t>
  </si>
  <si>
    <t>芒果加在優格上</t>
  </si>
  <si>
    <t>統一優酪乳(約1公升)</t>
  </si>
  <si>
    <t>桂圓銀耳奶  /  水果</t>
  </si>
  <si>
    <t>美濃瓜</t>
  </si>
  <si>
    <t>養樂多1罐</t>
  </si>
  <si>
    <t>麥片</t>
  </si>
  <si>
    <t>綠豆麥片牛奶</t>
  </si>
  <si>
    <t>(水放少以牛奶為主)</t>
  </si>
  <si>
    <t>金煌芒果</t>
  </si>
  <si>
    <t>吐司夾洋蔥肉片  /水果</t>
  </si>
  <si>
    <t>刈包夾蔬菜鮪魚蛋</t>
  </si>
  <si>
    <t>自製水果奶酪</t>
  </si>
  <si>
    <t>吉利丁</t>
  </si>
  <si>
    <t>片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</si>
  <si>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</si>
  <si>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</si>
  <si>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</si>
  <si>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鮮奶930CC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</si>
</sst>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81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b/>
      <sz val="7"/>
      <name val="微軟正黑體"/>
      <family val="2"/>
    </font>
    <font>
      <b/>
      <sz val="13"/>
      <name val="微軟正黑體"/>
      <family val="2"/>
    </font>
    <font>
      <sz val="8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54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0"/>
      <color indexed="10"/>
      <name val="微軟正黑體"/>
      <family val="2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0"/>
      <color rgb="FFFF0000"/>
      <name val="微軟正黑體"/>
      <family val="2"/>
    </font>
    <font>
      <b/>
      <sz val="12"/>
      <color rgb="FFFF0000"/>
      <name val="微軟正黑體"/>
      <family val="2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/>
      <right style="medium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/>
      <right style="thin"/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59"/>
      </left>
      <right style="medium"/>
      <top style="medium"/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1" fillId="0" borderId="0" applyFill="0" applyBorder="0" applyAlignment="0" applyProtection="0"/>
    <xf numFmtId="0" fontId="5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55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" fillId="34" borderId="18" xfId="40" applyFont="1" applyFill="1" applyBorder="1" applyAlignment="1">
      <alignment horizontal="center" vertical="center"/>
      <protection/>
    </xf>
    <xf numFmtId="0" fontId="7" fillId="0" borderId="18" xfId="40" applyFont="1" applyFill="1" applyBorder="1" applyAlignment="1">
      <alignment horizontal="center" vertical="center"/>
      <protection/>
    </xf>
    <xf numFmtId="0" fontId="72" fillId="0" borderId="18" xfId="0" applyFont="1" applyFill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7" fontId="12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80" fontId="12" fillId="0" borderId="22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7" fillId="0" borderId="20" xfId="40" applyFont="1" applyFill="1" applyBorder="1" applyAlignment="1">
      <alignment horizontal="center" vertical="center"/>
      <protection/>
    </xf>
    <xf numFmtId="0" fontId="7" fillId="34" borderId="18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39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8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5" fillId="0" borderId="20" xfId="40" applyFont="1" applyFill="1" applyBorder="1" applyAlignment="1">
      <alignment horizontal="center" vertical="center"/>
      <protection/>
    </xf>
    <xf numFmtId="0" fontId="7" fillId="34" borderId="18" xfId="39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7" fillId="34" borderId="18" xfId="41" applyFont="1" applyFill="1" applyBorder="1" applyAlignment="1">
      <alignment horizontal="center" vertical="center"/>
      <protection/>
    </xf>
    <xf numFmtId="0" fontId="7" fillId="34" borderId="18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0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/>
    </xf>
    <xf numFmtId="0" fontId="75" fillId="34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7" fillId="0" borderId="18" xfId="41" applyFont="1" applyFill="1" applyBorder="1" applyAlignment="1">
      <alignment horizontal="center" vertical="center"/>
      <protection/>
    </xf>
    <xf numFmtId="0" fontId="20" fillId="6" borderId="26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7" xfId="38" applyFont="1" applyFill="1" applyBorder="1" applyAlignment="1">
      <alignment horizontal="center" vertical="center"/>
      <protection/>
    </xf>
    <xf numFmtId="0" fontId="76" fillId="6" borderId="2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6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1" fillId="6" borderId="27" xfId="38" applyFont="1" applyFill="1" applyBorder="1" applyAlignment="1">
      <alignment horizontal="center" vertical="center"/>
      <protection/>
    </xf>
    <xf numFmtId="0" fontId="22" fillId="6" borderId="27" xfId="38" applyFont="1" applyFill="1" applyBorder="1" applyAlignment="1">
      <alignment horizontal="center" vertical="center"/>
      <protection/>
    </xf>
    <xf numFmtId="0" fontId="77" fillId="6" borderId="29" xfId="38" applyFont="1" applyFill="1" applyBorder="1" applyAlignment="1">
      <alignment horizontal="center" vertical="center"/>
      <protection/>
    </xf>
    <xf numFmtId="0" fontId="21" fillId="6" borderId="32" xfId="38" applyFont="1" applyFill="1" applyBorder="1" applyAlignment="1">
      <alignment horizontal="center" vertical="center"/>
      <protection/>
    </xf>
    <xf numFmtId="0" fontId="76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76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39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vertical="center"/>
    </xf>
    <xf numFmtId="177" fontId="8" fillId="0" borderId="41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9" fontId="12" fillId="0" borderId="40" xfId="0" applyNumberFormat="1" applyFont="1" applyFill="1" applyBorder="1" applyAlignment="1">
      <alignment vertical="center"/>
    </xf>
    <xf numFmtId="179" fontId="8" fillId="0" borderId="40" xfId="0" applyNumberFormat="1" applyFont="1" applyFill="1" applyBorder="1" applyAlignment="1">
      <alignment vertical="center"/>
    </xf>
    <xf numFmtId="180" fontId="12" fillId="0" borderId="42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/>
    </xf>
    <xf numFmtId="0" fontId="7" fillId="34" borderId="20" xfId="45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4" fillId="34" borderId="1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/>
    </xf>
    <xf numFmtId="0" fontId="7" fillId="34" borderId="20" xfId="46" applyFont="1" applyFill="1" applyBorder="1" applyAlignment="1">
      <alignment horizontal="center" vertical="center"/>
      <protection/>
    </xf>
    <xf numFmtId="0" fontId="13" fillId="0" borderId="46" xfId="0" applyFont="1" applyFill="1" applyBorder="1" applyAlignment="1">
      <alignment horizontal="center" vertical="center"/>
    </xf>
    <xf numFmtId="0" fontId="7" fillId="34" borderId="24" xfId="46" applyFont="1" applyFill="1" applyBorder="1" applyAlignment="1">
      <alignment horizontal="center" vertical="center"/>
      <protection/>
    </xf>
    <xf numFmtId="0" fontId="10" fillId="34" borderId="24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7" fillId="0" borderId="20" xfId="46" applyFont="1" applyFill="1" applyBorder="1" applyAlignment="1">
      <alignment horizontal="center" vertical="center"/>
      <protection/>
    </xf>
    <xf numFmtId="0" fontId="13" fillId="0" borderId="20" xfId="0" applyNumberFormat="1" applyFont="1" applyFill="1" applyBorder="1" applyAlignment="1">
      <alignment horizontal="center" vertical="center"/>
    </xf>
    <xf numFmtId="0" fontId="7" fillId="0" borderId="42" xfId="46" applyFont="1" applyFill="1" applyBorder="1" applyAlignment="1">
      <alignment horizontal="center" vertical="center"/>
      <protection/>
    </xf>
    <xf numFmtId="0" fontId="10" fillId="0" borderId="4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0" fillId="6" borderId="48" xfId="38" applyFont="1" applyFill="1" applyBorder="1" applyAlignment="1">
      <alignment horizontal="center" vertical="center"/>
      <protection/>
    </xf>
    <xf numFmtId="0" fontId="20" fillId="6" borderId="49" xfId="38" applyFont="1" applyFill="1" applyBorder="1" applyAlignment="1">
      <alignment horizontal="center" vertical="center"/>
      <protection/>
    </xf>
    <xf numFmtId="0" fontId="21" fillId="6" borderId="49" xfId="38" applyFont="1" applyFill="1" applyBorder="1" applyAlignment="1">
      <alignment horizontal="center" vertical="center"/>
      <protection/>
    </xf>
    <xf numFmtId="0" fontId="22" fillId="6" borderId="49" xfId="38" applyFont="1" applyFill="1" applyBorder="1" applyAlignment="1">
      <alignment horizontal="center" vertical="center"/>
      <protection/>
    </xf>
    <xf numFmtId="0" fontId="21" fillId="6" borderId="50" xfId="38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>
      <alignment horizontal="center" vertical="center"/>
    </xf>
    <xf numFmtId="180" fontId="12" fillId="0" borderId="2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vertical="center" wrapText="1"/>
    </xf>
    <xf numFmtId="0" fontId="7" fillId="6" borderId="56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5" fillId="34" borderId="52" xfId="0" applyFont="1" applyFill="1" applyBorder="1" applyAlignment="1">
      <alignment horizontal="center" vertical="center" wrapText="1"/>
    </xf>
    <xf numFmtId="0" fontId="20" fillId="0" borderId="20" xfId="40" applyFont="1" applyFill="1" applyBorder="1" applyAlignment="1">
      <alignment horizontal="center" vertical="center"/>
      <protection/>
    </xf>
    <xf numFmtId="0" fontId="7" fillId="34" borderId="18" xfId="45" applyFont="1" applyFill="1" applyBorder="1" applyAlignment="1">
      <alignment horizontal="center" vertical="center" wrapText="1"/>
      <protection/>
    </xf>
    <xf numFmtId="0" fontId="7" fillId="34" borderId="18" xfId="45" applyFont="1" applyFill="1" applyBorder="1" applyAlignment="1">
      <alignment horizontal="center" vertical="center"/>
      <protection/>
    </xf>
    <xf numFmtId="0" fontId="7" fillId="0" borderId="55" xfId="41" applyFont="1" applyFill="1" applyBorder="1" applyAlignment="1">
      <alignment horizontal="center" vertical="center"/>
      <protection/>
    </xf>
    <xf numFmtId="0" fontId="10" fillId="0" borderId="43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76" fontId="12" fillId="0" borderId="62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7" fontId="12" fillId="0" borderId="62" xfId="0" applyNumberFormat="1" applyFont="1" applyFill="1" applyBorder="1" applyAlignment="1">
      <alignment vertical="center"/>
    </xf>
    <xf numFmtId="177" fontId="8" fillId="0" borderId="62" xfId="0" applyNumberFormat="1" applyFont="1" applyFill="1" applyBorder="1" applyAlignment="1">
      <alignment vertical="center"/>
    </xf>
    <xf numFmtId="178" fontId="12" fillId="0" borderId="62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79" fontId="12" fillId="0" borderId="62" xfId="0" applyNumberFormat="1" applyFont="1" applyFill="1" applyBorder="1" applyAlignment="1">
      <alignment vertical="center"/>
    </xf>
    <xf numFmtId="179" fontId="8" fillId="0" borderId="62" xfId="0" applyNumberFormat="1" applyFont="1" applyFill="1" applyBorder="1" applyAlignment="1">
      <alignment vertical="center"/>
    </xf>
    <xf numFmtId="0" fontId="7" fillId="0" borderId="64" xfId="39" applyFont="1" applyFill="1" applyBorder="1" applyAlignment="1">
      <alignment horizontal="center" vertical="center"/>
      <protection/>
    </xf>
    <xf numFmtId="0" fontId="7" fillId="0" borderId="65" xfId="39" applyFont="1" applyFill="1" applyBorder="1" applyAlignment="1">
      <alignment horizontal="center" vertical="center"/>
      <protection/>
    </xf>
    <xf numFmtId="0" fontId="7" fillId="0" borderId="66" xfId="39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2" fontId="7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7" fontId="12" fillId="0" borderId="40" xfId="0" applyNumberFormat="1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8" fontId="12" fillId="0" borderId="40" xfId="0" applyNumberFormat="1" applyFont="1" applyBorder="1" applyAlignment="1">
      <alignment vertical="center"/>
    </xf>
    <xf numFmtId="178" fontId="8" fillId="0" borderId="40" xfId="0" applyNumberFormat="1" applyFont="1" applyBorder="1" applyAlignment="1">
      <alignment vertical="center"/>
    </xf>
    <xf numFmtId="179" fontId="12" fillId="0" borderId="40" xfId="0" applyNumberFormat="1" applyFont="1" applyBorder="1" applyAlignment="1">
      <alignment vertical="center"/>
    </xf>
    <xf numFmtId="179" fontId="8" fillId="0" borderId="40" xfId="0" applyNumberFormat="1" applyFont="1" applyBorder="1" applyAlignment="1">
      <alignment vertical="center"/>
    </xf>
    <xf numFmtId="180" fontId="12" fillId="0" borderId="20" xfId="0" applyNumberFormat="1" applyFont="1" applyBorder="1" applyAlignment="1">
      <alignment vertical="center"/>
    </xf>
    <xf numFmtId="180" fontId="8" fillId="0" borderId="19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3" fillId="7" borderId="20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4" fillId="34" borderId="18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" fillId="0" borderId="18" xfId="4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0" borderId="18" xfId="41" applyFont="1" applyBorder="1" applyAlignment="1">
      <alignment horizontal="center" vertical="center"/>
      <protection/>
    </xf>
    <xf numFmtId="0" fontId="73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7" fillId="33" borderId="20" xfId="39" applyFont="1" applyFill="1" applyBorder="1" applyAlignment="1">
      <alignment horizontal="center" vertical="center"/>
      <protection/>
    </xf>
    <xf numFmtId="0" fontId="78" fillId="0" borderId="18" xfId="0" applyFont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0" fontId="76" fillId="6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6" fillId="6" borderId="34" xfId="0" applyFont="1" applyFill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42" applyFont="1" applyAlignment="1">
      <alignment horizontal="center" vertical="center" wrapText="1"/>
      <protection/>
    </xf>
    <xf numFmtId="0" fontId="15" fillId="0" borderId="0" xfId="42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2" fillId="34" borderId="67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2" xfId="46" applyFont="1" applyFill="1" applyBorder="1" applyAlignment="1">
      <alignment horizontal="center" vertical="center"/>
      <protection/>
    </xf>
    <xf numFmtId="0" fontId="7" fillId="0" borderId="53" xfId="46" applyFont="1" applyFill="1" applyBorder="1" applyAlignment="1">
      <alignment horizontal="center" vertical="center"/>
      <protection/>
    </xf>
    <xf numFmtId="0" fontId="10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4" fillId="0" borderId="52" xfId="0" applyFont="1" applyFill="1" applyBorder="1" applyAlignment="1">
      <alignment horizontal="center" vertical="center"/>
    </xf>
    <xf numFmtId="0" fontId="74" fillId="34" borderId="53" xfId="0" applyFont="1" applyFill="1" applyBorder="1" applyAlignment="1">
      <alignment horizontal="center" vertical="center"/>
    </xf>
    <xf numFmtId="0" fontId="74" fillId="34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7" borderId="46" xfId="0" applyFont="1" applyFill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8" xfId="39" applyFont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/>
    </xf>
    <xf numFmtId="0" fontId="15" fillId="0" borderId="18" xfId="39" applyFont="1" applyBorder="1" applyAlignment="1">
      <alignment horizontal="center" vertical="center"/>
      <protection/>
    </xf>
    <xf numFmtId="0" fontId="10" fillId="0" borderId="18" xfId="40" applyFont="1" applyBorder="1" applyAlignment="1">
      <alignment horizontal="center" vertical="center"/>
      <protection/>
    </xf>
    <xf numFmtId="0" fontId="7" fillId="0" borderId="55" xfId="0" applyFont="1" applyBorder="1" applyAlignment="1">
      <alignment horizontal="center" vertical="center"/>
    </xf>
    <xf numFmtId="0" fontId="7" fillId="0" borderId="20" xfId="39" applyFont="1" applyBorder="1" applyAlignment="1">
      <alignment horizontal="center" vertical="center"/>
      <protection/>
    </xf>
    <xf numFmtId="0" fontId="79" fillId="0" borderId="67" xfId="0" applyFont="1" applyBorder="1" applyAlignment="1">
      <alignment horizontal="center" vertical="center" wrapText="1"/>
    </xf>
    <xf numFmtId="0" fontId="7" fillId="0" borderId="20" xfId="46" applyFont="1" applyBorder="1" applyAlignment="1">
      <alignment horizontal="center" vertical="center"/>
      <protection/>
    </xf>
    <xf numFmtId="0" fontId="7" fillId="0" borderId="7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74" fillId="34" borderId="59" xfId="39" applyFont="1" applyFill="1" applyBorder="1" applyAlignment="1">
      <alignment horizontal="center" vertical="center"/>
      <protection/>
    </xf>
    <xf numFmtId="0" fontId="74" fillId="0" borderId="20" xfId="39" applyFont="1" applyBorder="1" applyAlignment="1">
      <alignment horizontal="center" vertical="center"/>
      <protection/>
    </xf>
    <xf numFmtId="0" fontId="74" fillId="34" borderId="20" xfId="45" applyFont="1" applyFill="1" applyBorder="1" applyAlignment="1">
      <alignment horizontal="center" vertical="center"/>
      <protection/>
    </xf>
    <xf numFmtId="0" fontId="74" fillId="0" borderId="42" xfId="39" applyFont="1" applyBorder="1" applyAlignment="1">
      <alignment horizontal="center" vertical="center"/>
      <protection/>
    </xf>
    <xf numFmtId="0" fontId="74" fillId="0" borderId="47" xfId="39" applyFont="1" applyBorder="1" applyAlignment="1">
      <alignment horizontal="center" vertical="center"/>
      <protection/>
    </xf>
    <xf numFmtId="0" fontId="7" fillId="9" borderId="18" xfId="0" applyFont="1" applyFill="1" applyBorder="1" applyAlignment="1">
      <alignment horizontal="center" vertical="center"/>
    </xf>
    <xf numFmtId="0" fontId="73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shrinkToFit="1"/>
    </xf>
    <xf numFmtId="0" fontId="73" fillId="0" borderId="20" xfId="0" applyFont="1" applyFill="1" applyBorder="1" applyAlignment="1">
      <alignment horizontal="center" vertical="center"/>
    </xf>
    <xf numFmtId="180" fontId="12" fillId="0" borderId="71" xfId="0" applyNumberFormat="1" applyFont="1" applyFill="1" applyBorder="1" applyAlignment="1">
      <alignment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vertical="center"/>
    </xf>
    <xf numFmtId="0" fontId="13" fillId="7" borderId="46" xfId="0" applyFont="1" applyFill="1" applyBorder="1" applyAlignment="1">
      <alignment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73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/>
    </xf>
    <xf numFmtId="0" fontId="8" fillId="6" borderId="79" xfId="0" applyFont="1" applyFill="1" applyBorder="1" applyAlignment="1">
      <alignment horizontal="center" vertical="center"/>
    </xf>
    <xf numFmtId="0" fontId="8" fillId="6" borderId="80" xfId="0" applyFont="1" applyFill="1" applyBorder="1" applyAlignment="1">
      <alignment horizontal="center" vertical="center"/>
    </xf>
    <xf numFmtId="0" fontId="7" fillId="6" borderId="81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 wrapText="1"/>
    </xf>
    <xf numFmtId="0" fontId="12" fillId="6" borderId="84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 wrapText="1"/>
    </xf>
    <xf numFmtId="0" fontId="7" fillId="34" borderId="86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7" borderId="87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7" fillId="6" borderId="89" xfId="0" applyFont="1" applyFill="1" applyBorder="1" applyAlignment="1">
      <alignment horizontal="center" vertical="center" wrapText="1"/>
    </xf>
    <xf numFmtId="0" fontId="7" fillId="6" borderId="90" xfId="0" applyFont="1" applyFill="1" applyBorder="1" applyAlignment="1">
      <alignment horizontal="center" vertical="center" wrapText="1"/>
    </xf>
    <xf numFmtId="0" fontId="7" fillId="6" borderId="91" xfId="0" applyFont="1" applyFill="1" applyBorder="1" applyAlignment="1">
      <alignment horizontal="center" vertical="center" wrapText="1"/>
    </xf>
    <xf numFmtId="0" fontId="8" fillId="6" borderId="92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7" borderId="93" xfId="0" applyFont="1" applyFill="1" applyBorder="1" applyAlignment="1">
      <alignment horizontal="center" vertical="center" wrapText="1"/>
    </xf>
    <xf numFmtId="0" fontId="7" fillId="0" borderId="94" xfId="42" applyFont="1" applyFill="1" applyBorder="1" applyAlignment="1">
      <alignment horizontal="center" vertical="center" wrapText="1"/>
      <protection/>
    </xf>
    <xf numFmtId="0" fontId="7" fillId="0" borderId="77" xfId="42" applyFont="1" applyFill="1" applyBorder="1" applyAlignment="1">
      <alignment horizontal="center" vertical="center" wrapText="1"/>
      <protection/>
    </xf>
    <xf numFmtId="0" fontId="7" fillId="0" borderId="95" xfId="42" applyFont="1" applyFill="1" applyBorder="1" applyAlignment="1">
      <alignment horizontal="center" vertical="center" wrapText="1"/>
      <protection/>
    </xf>
    <xf numFmtId="0" fontId="7" fillId="34" borderId="95" xfId="0" applyFont="1" applyFill="1" applyBorder="1" applyAlignment="1">
      <alignment horizontal="center" vertical="center" wrapText="1"/>
    </xf>
    <xf numFmtId="0" fontId="8" fillId="6" borderId="9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34" borderId="23" xfId="0" applyFont="1" applyFill="1" applyBorder="1" applyAlignment="1">
      <alignment horizontal="center" vertical="center" textRotation="255"/>
    </xf>
    <xf numFmtId="176" fontId="8" fillId="34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255"/>
    </xf>
    <xf numFmtId="177" fontId="8" fillId="0" borderId="23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7" fillId="0" borderId="85" xfId="42" applyFont="1" applyFill="1" applyBorder="1" applyAlignment="1">
      <alignment horizontal="center" vertical="center" wrapText="1"/>
      <protection/>
    </xf>
    <xf numFmtId="0" fontId="7" fillId="0" borderId="86" xfId="42" applyFont="1" applyFill="1" applyBorder="1" applyAlignment="1">
      <alignment horizontal="center" vertical="center" wrapText="1"/>
      <protection/>
    </xf>
    <xf numFmtId="0" fontId="7" fillId="0" borderId="58" xfId="42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/>
    </xf>
    <xf numFmtId="0" fontId="7" fillId="7" borderId="9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255"/>
    </xf>
    <xf numFmtId="178" fontId="8" fillId="0" borderId="2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0" fontId="7" fillId="0" borderId="76" xfId="42" applyFont="1" applyFill="1" applyBorder="1" applyAlignment="1">
      <alignment horizontal="center" vertical="center" wrapText="1"/>
      <protection/>
    </xf>
    <xf numFmtId="0" fontId="9" fillId="0" borderId="39" xfId="0" applyFont="1" applyBorder="1" applyAlignment="1">
      <alignment horizontal="right" vertical="center"/>
    </xf>
    <xf numFmtId="0" fontId="7" fillId="34" borderId="23" xfId="0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98" xfId="0" applyFont="1" applyFill="1" applyBorder="1" applyAlignment="1">
      <alignment horizontal="center" vertical="center"/>
    </xf>
    <xf numFmtId="0" fontId="7" fillId="6" borderId="99" xfId="0" applyFont="1" applyFill="1" applyBorder="1" applyAlignment="1">
      <alignment horizontal="center" vertical="center" wrapText="1"/>
    </xf>
    <xf numFmtId="0" fontId="7" fillId="6" borderId="100" xfId="0" applyFont="1" applyFill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 wrapText="1"/>
    </xf>
    <xf numFmtId="0" fontId="7" fillId="7" borderId="55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7" fillId="6" borderId="104" xfId="0" applyFont="1" applyFill="1" applyBorder="1" applyAlignment="1">
      <alignment horizontal="center" vertical="center" wrapText="1"/>
    </xf>
    <xf numFmtId="0" fontId="7" fillId="6" borderId="105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6" borderId="106" xfId="0" applyFont="1" applyFill="1" applyBorder="1" applyAlignment="1">
      <alignment horizontal="center" vertical="center" wrapText="1"/>
    </xf>
    <xf numFmtId="0" fontId="7" fillId="6" borderId="107" xfId="0" applyFont="1" applyFill="1" applyBorder="1" applyAlignment="1">
      <alignment horizontal="center" vertical="center" wrapText="1"/>
    </xf>
    <xf numFmtId="0" fontId="7" fillId="6" borderId="10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180" fontId="8" fillId="0" borderId="5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7" fillId="34" borderId="85" xfId="42" applyFont="1" applyFill="1" applyBorder="1" applyAlignment="1">
      <alignment horizontal="center" vertical="center" wrapText="1"/>
      <protection/>
    </xf>
    <xf numFmtId="0" fontId="7" fillId="34" borderId="86" xfId="42" applyFont="1" applyFill="1" applyBorder="1" applyAlignment="1">
      <alignment horizontal="center" vertical="center" wrapText="1"/>
      <protection/>
    </xf>
    <xf numFmtId="0" fontId="7" fillId="34" borderId="102" xfId="42" applyFont="1" applyFill="1" applyBorder="1" applyAlignment="1">
      <alignment horizontal="center" vertical="center" wrapText="1"/>
      <protection/>
    </xf>
    <xf numFmtId="0" fontId="78" fillId="34" borderId="34" xfId="0" applyFont="1" applyFill="1" applyBorder="1" applyAlignment="1">
      <alignment horizontal="center" vertical="center" wrapText="1"/>
    </xf>
    <xf numFmtId="0" fontId="78" fillId="34" borderId="109" xfId="0" applyFont="1" applyFill="1" applyBorder="1" applyAlignment="1">
      <alignment horizontal="center" vertical="center" wrapText="1"/>
    </xf>
    <xf numFmtId="0" fontId="78" fillId="34" borderId="20" xfId="0" applyFont="1" applyFill="1" applyBorder="1" applyAlignment="1">
      <alignment horizontal="center" vertical="center"/>
    </xf>
    <xf numFmtId="0" fontId="78" fillId="34" borderId="19" xfId="0" applyFont="1" applyFill="1" applyBorder="1" applyAlignment="1">
      <alignment horizontal="center" vertical="center"/>
    </xf>
    <xf numFmtId="0" fontId="20" fillId="0" borderId="58" xfId="42" applyFont="1" applyFill="1" applyBorder="1" applyAlignment="1">
      <alignment horizontal="center" vertical="center" wrapText="1"/>
      <protection/>
    </xf>
    <xf numFmtId="0" fontId="20" fillId="0" borderId="12" xfId="42" applyFont="1" applyFill="1" applyBorder="1" applyAlignment="1">
      <alignment horizontal="center" vertical="center" wrapText="1"/>
      <protection/>
    </xf>
    <xf numFmtId="0" fontId="20" fillId="0" borderId="14" xfId="42" applyFont="1" applyFill="1" applyBorder="1" applyAlignment="1">
      <alignment horizontal="center" vertical="center" wrapText="1"/>
      <protection/>
    </xf>
    <xf numFmtId="0" fontId="74" fillId="0" borderId="58" xfId="42" applyFont="1" applyFill="1" applyBorder="1" applyAlignment="1">
      <alignment horizontal="center" vertical="center" wrapText="1"/>
      <protection/>
    </xf>
    <xf numFmtId="0" fontId="74" fillId="0" borderId="12" xfId="42" applyFont="1" applyFill="1" applyBorder="1" applyAlignment="1">
      <alignment horizontal="center" vertical="center" wrapText="1"/>
      <protection/>
    </xf>
    <xf numFmtId="0" fontId="74" fillId="0" borderId="14" xfId="42" applyFont="1" applyFill="1" applyBorder="1" applyAlignment="1">
      <alignment horizontal="center" vertical="center" wrapText="1"/>
      <protection/>
    </xf>
    <xf numFmtId="0" fontId="7" fillId="7" borderId="110" xfId="0" applyFont="1" applyFill="1" applyBorder="1" applyAlignment="1">
      <alignment horizontal="center" vertical="center" wrapText="1"/>
    </xf>
    <xf numFmtId="0" fontId="7" fillId="7" borderId="1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right" vertical="center"/>
    </xf>
    <xf numFmtId="0" fontId="8" fillId="0" borderId="112" xfId="0" applyFont="1" applyFill="1" applyBorder="1" applyAlignment="1">
      <alignment horizontal="center" vertical="center" textRotation="255"/>
    </xf>
    <xf numFmtId="177" fontId="8" fillId="0" borderId="112" xfId="0" applyNumberFormat="1" applyFont="1" applyFill="1" applyBorder="1" applyAlignment="1">
      <alignment horizontal="center" vertical="center"/>
    </xf>
    <xf numFmtId="178" fontId="8" fillId="0" borderId="112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textRotation="255"/>
    </xf>
    <xf numFmtId="0" fontId="8" fillId="0" borderId="69" xfId="0" applyFont="1" applyFill="1" applyBorder="1" applyAlignment="1">
      <alignment horizontal="center" vertical="center" textRotation="255"/>
    </xf>
    <xf numFmtId="0" fontId="8" fillId="0" borderId="87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left" vertical="center"/>
    </xf>
    <xf numFmtId="0" fontId="7" fillId="0" borderId="12" xfId="42" applyFont="1" applyBorder="1" applyAlignment="1">
      <alignment horizontal="center" vertical="center" wrapText="1"/>
      <protection/>
    </xf>
    <xf numFmtId="0" fontId="7" fillId="7" borderId="113" xfId="0" applyFont="1" applyFill="1" applyBorder="1" applyAlignment="1">
      <alignment horizontal="center" vertical="center" wrapText="1"/>
    </xf>
    <xf numFmtId="180" fontId="8" fillId="0" borderId="112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7" fillId="7" borderId="116" xfId="0" applyFont="1" applyFill="1" applyBorder="1" applyAlignment="1">
      <alignment horizontal="center" vertical="center" wrapText="1"/>
    </xf>
    <xf numFmtId="0" fontId="7" fillId="7" borderId="117" xfId="0" applyFont="1" applyFill="1" applyBorder="1" applyAlignment="1">
      <alignment horizontal="center" vertical="center" wrapText="1"/>
    </xf>
    <xf numFmtId="0" fontId="7" fillId="7" borderId="118" xfId="0" applyFont="1" applyFill="1" applyBorder="1" applyAlignment="1">
      <alignment horizontal="center" vertical="center" wrapText="1"/>
    </xf>
    <xf numFmtId="176" fontId="8" fillId="0" borderId="112" xfId="0" applyNumberFormat="1" applyFont="1" applyFill="1" applyBorder="1" applyAlignment="1">
      <alignment horizontal="center" vertical="center"/>
    </xf>
    <xf numFmtId="179" fontId="8" fillId="0" borderId="112" xfId="0" applyNumberFormat="1" applyFont="1" applyFill="1" applyBorder="1" applyAlignment="1">
      <alignment horizontal="center" vertical="center"/>
    </xf>
    <xf numFmtId="0" fontId="12" fillId="6" borderId="99" xfId="0" applyFont="1" applyFill="1" applyBorder="1" applyAlignment="1">
      <alignment horizontal="center" vertical="center"/>
    </xf>
    <xf numFmtId="0" fontId="12" fillId="6" borderId="119" xfId="0" applyFont="1" applyFill="1" applyBorder="1" applyAlignment="1">
      <alignment horizontal="center" vertical="center"/>
    </xf>
    <xf numFmtId="0" fontId="7" fillId="0" borderId="85" xfId="42" applyFont="1" applyBorder="1" applyAlignment="1">
      <alignment horizontal="center" vertical="center" wrapText="1"/>
      <protection/>
    </xf>
    <xf numFmtId="0" fontId="7" fillId="0" borderId="94" xfId="0" applyFont="1" applyFill="1" applyBorder="1" applyAlignment="1">
      <alignment horizontal="center" vertical="center" wrapText="1"/>
    </xf>
    <xf numFmtId="0" fontId="7" fillId="0" borderId="12" xfId="42" applyFont="1" applyFill="1" applyBorder="1" applyAlignment="1">
      <alignment horizontal="center" vertical="center" wrapText="1"/>
      <protection/>
    </xf>
    <xf numFmtId="0" fontId="7" fillId="7" borderId="120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180" fontId="8" fillId="0" borderId="121" xfId="0" applyNumberFormat="1" applyFont="1" applyFill="1" applyBorder="1" applyAlignment="1">
      <alignment horizontal="center" vertical="center"/>
    </xf>
    <xf numFmtId="180" fontId="8" fillId="0" borderId="1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textRotation="255"/>
    </xf>
    <xf numFmtId="0" fontId="8" fillId="0" borderId="123" xfId="0" applyFont="1" applyFill="1" applyBorder="1" applyAlignment="1">
      <alignment horizontal="center" vertical="center" textRotation="255"/>
    </xf>
    <xf numFmtId="0" fontId="8" fillId="0" borderId="124" xfId="0" applyFont="1" applyFill="1" applyBorder="1" applyAlignment="1">
      <alignment horizontal="center" vertical="center" textRotation="255"/>
    </xf>
    <xf numFmtId="176" fontId="8" fillId="0" borderId="121" xfId="0" applyNumberFormat="1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 textRotation="255"/>
    </xf>
    <xf numFmtId="177" fontId="8" fillId="0" borderId="121" xfId="0" applyNumberFormat="1" applyFont="1" applyFill="1" applyBorder="1" applyAlignment="1">
      <alignment horizontal="center" vertical="center"/>
    </xf>
    <xf numFmtId="178" fontId="8" fillId="0" borderId="121" xfId="0" applyNumberFormat="1" applyFont="1" applyFill="1" applyBorder="1" applyAlignment="1">
      <alignment horizontal="center" vertical="center"/>
    </xf>
    <xf numFmtId="179" fontId="8" fillId="0" borderId="121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15" fillId="0" borderId="12" xfId="42" applyFont="1" applyFill="1" applyBorder="1" applyAlignment="1">
      <alignment horizontal="center" vertical="center" wrapText="1"/>
      <protection/>
    </xf>
    <xf numFmtId="0" fontId="7" fillId="0" borderId="29" xfId="40" applyFont="1" applyFill="1" applyBorder="1" applyAlignment="1">
      <alignment horizontal="center" vertical="center"/>
      <protection/>
    </xf>
    <xf numFmtId="0" fontId="7" fillId="0" borderId="0" xfId="40" applyFont="1" applyFill="1" applyBorder="1" applyAlignment="1">
      <alignment horizontal="center" vertical="center"/>
      <protection/>
    </xf>
    <xf numFmtId="0" fontId="7" fillId="0" borderId="98" xfId="40" applyFont="1" applyFill="1" applyBorder="1" applyAlignment="1">
      <alignment horizontal="center" vertical="center"/>
      <protection/>
    </xf>
    <xf numFmtId="0" fontId="7" fillId="0" borderId="29" xfId="41" applyFont="1" applyBorder="1" applyAlignment="1">
      <alignment horizontal="center" vertical="center"/>
      <protection/>
    </xf>
    <xf numFmtId="0" fontId="7" fillId="0" borderId="0" xfId="41" applyFont="1" applyAlignment="1">
      <alignment horizontal="center" vertical="center"/>
      <protection/>
    </xf>
    <xf numFmtId="0" fontId="7" fillId="0" borderId="113" xfId="41" applyFont="1" applyBorder="1" applyAlignment="1">
      <alignment horizontal="center" vertical="center"/>
      <protection/>
    </xf>
    <xf numFmtId="0" fontId="74" fillId="0" borderId="59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 wrapText="1"/>
    </xf>
    <xf numFmtId="0" fontId="74" fillId="0" borderId="1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182" fontId="7" fillId="0" borderId="0" xfId="0" applyNumberFormat="1" applyFont="1" applyAlignment="1">
      <alignment horizontal="left" vertical="center"/>
    </xf>
    <xf numFmtId="0" fontId="7" fillId="0" borderId="94" xfId="42" applyFont="1" applyBorder="1" applyAlignment="1">
      <alignment horizontal="center" vertical="center" wrapText="1"/>
      <protection/>
    </xf>
    <xf numFmtId="0" fontId="7" fillId="0" borderId="77" xfId="42" applyFont="1" applyBorder="1" applyAlignment="1">
      <alignment horizontal="center" vertical="center" wrapText="1"/>
      <protection/>
    </xf>
    <xf numFmtId="0" fontId="7" fillId="0" borderId="95" xfId="42" applyFont="1" applyBorder="1" applyAlignment="1">
      <alignment horizontal="center" vertical="center" wrapText="1"/>
      <protection/>
    </xf>
    <xf numFmtId="0" fontId="15" fillId="0" borderId="12" xfId="42" applyFont="1" applyBorder="1" applyAlignment="1">
      <alignment horizontal="center" vertical="center" wrapText="1"/>
      <protection/>
    </xf>
    <xf numFmtId="0" fontId="15" fillId="0" borderId="85" xfId="42" applyFont="1" applyBorder="1" applyAlignment="1">
      <alignment horizontal="center" vertical="center" wrapText="1"/>
      <protection/>
    </xf>
    <xf numFmtId="0" fontId="7" fillId="0" borderId="29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horizontal="center" vertical="center"/>
      <protection/>
    </xf>
    <xf numFmtId="0" fontId="7" fillId="0" borderId="98" xfId="40" applyFont="1" applyBorder="1" applyAlignment="1">
      <alignment horizontal="center" vertical="center"/>
      <protection/>
    </xf>
    <xf numFmtId="0" fontId="7" fillId="0" borderId="0" xfId="40" applyFont="1" applyAlignment="1">
      <alignment horizontal="center" vertical="center"/>
      <protection/>
    </xf>
    <xf numFmtId="0" fontId="74" fillId="0" borderId="85" xfId="42" applyFont="1" applyBorder="1" applyAlignment="1">
      <alignment horizontal="center" vertical="center" wrapText="1"/>
      <protection/>
    </xf>
    <xf numFmtId="0" fontId="74" fillId="0" borderId="86" xfId="42" applyFont="1" applyBorder="1" applyAlignment="1">
      <alignment horizontal="center" vertical="center" wrapText="1"/>
      <protection/>
    </xf>
    <xf numFmtId="0" fontId="74" fillId="34" borderId="87" xfId="0" applyFont="1" applyFill="1" applyBorder="1" applyAlignment="1">
      <alignment horizontal="center" vertical="center" wrapText="1"/>
    </xf>
    <xf numFmtId="0" fontId="74" fillId="34" borderId="128" xfId="0" applyFont="1" applyFill="1" applyBorder="1" applyAlignment="1">
      <alignment horizontal="center" vertical="center" wrapText="1"/>
    </xf>
    <xf numFmtId="0" fontId="74" fillId="34" borderId="129" xfId="0" applyFont="1" applyFill="1" applyBorder="1" applyAlignment="1">
      <alignment horizontal="center" vertical="center" wrapText="1"/>
    </xf>
    <xf numFmtId="179" fontId="8" fillId="0" borderId="11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180" fontId="8" fillId="0" borderId="112" xfId="0" applyNumberFormat="1" applyFont="1" applyBorder="1" applyAlignment="1">
      <alignment horizontal="center" vertical="center"/>
    </xf>
    <xf numFmtId="180" fontId="8" fillId="0" borderId="6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 textRotation="255"/>
    </xf>
    <xf numFmtId="0" fontId="8" fillId="34" borderId="69" xfId="0" applyFont="1" applyFill="1" applyBorder="1" applyAlignment="1">
      <alignment horizontal="center" vertical="center" textRotation="255"/>
    </xf>
    <xf numFmtId="176" fontId="8" fillId="34" borderId="112" xfId="0" applyNumberFormat="1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177" fontId="8" fillId="0" borderId="112" xfId="0" applyNumberFormat="1" applyFont="1" applyBorder="1" applyAlignment="1">
      <alignment horizontal="center" vertical="center"/>
    </xf>
    <xf numFmtId="178" fontId="8" fillId="0" borderId="1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0" xfId="0" applyFont="1" applyBorder="1" applyAlignment="1">
      <alignment horizontal="left" vertical="center"/>
    </xf>
    <xf numFmtId="0" fontId="7" fillId="34" borderId="20" xfId="39" applyFont="1" applyFill="1" applyBorder="1" applyAlignment="1">
      <alignment horizontal="center" vertical="center"/>
      <protection/>
    </xf>
    <xf numFmtId="0" fontId="20" fillId="34" borderId="20" xfId="40" applyFont="1" applyFill="1" applyBorder="1" applyAlignment="1">
      <alignment horizontal="center" vertical="center"/>
      <protection/>
    </xf>
    <xf numFmtId="0" fontId="7" fillId="34" borderId="20" xfId="40" applyFont="1" applyFill="1" applyBorder="1" applyAlignment="1">
      <alignment horizontal="center" vertical="center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94" xfId="42" applyFont="1" applyFill="1" applyBorder="1" applyAlignment="1">
      <alignment horizontal="center" vertical="center" wrapText="1"/>
      <protection/>
    </xf>
    <xf numFmtId="0" fontId="7" fillId="34" borderId="77" xfId="42" applyFont="1" applyFill="1" applyBorder="1" applyAlignment="1">
      <alignment horizontal="center" vertical="center" wrapText="1"/>
      <protection/>
    </xf>
    <xf numFmtId="0" fontId="7" fillId="34" borderId="95" xfId="42" applyFont="1" applyFill="1" applyBorder="1" applyAlignment="1">
      <alignment horizontal="center" vertical="center" wrapText="1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Y36"/>
  <sheetViews>
    <sheetView tabSelected="1" view="pageBreakPreview" zoomScaleSheetLayoutView="100" workbookViewId="0" topLeftCell="A1">
      <selection activeCell="B6" sqref="A6:E24"/>
    </sheetView>
  </sheetViews>
  <sheetFormatPr defaultColWidth="6.125" defaultRowHeight="22.5" customHeight="1"/>
  <cols>
    <col min="1" max="1" width="3.75390625" style="67" customWidth="1"/>
    <col min="2" max="2" width="18.375" style="68" customWidth="1"/>
    <col min="3" max="3" width="6.125" style="68" hidden="1" customWidth="1"/>
    <col min="4" max="5" width="5.625" style="68" customWidth="1"/>
    <col min="6" max="6" width="6.125" style="69" hidden="1" customWidth="1"/>
    <col min="7" max="7" width="6.125" style="70" hidden="1" customWidth="1"/>
    <col min="8" max="8" width="3.625" style="67" customWidth="1"/>
    <col min="9" max="9" width="22.125" style="68" bestFit="1" customWidth="1"/>
    <col min="10" max="10" width="6.125" style="68" hidden="1" customWidth="1"/>
    <col min="11" max="12" width="5.625" style="68" customWidth="1"/>
    <col min="13" max="13" width="6.125" style="69" hidden="1" customWidth="1"/>
    <col min="14" max="14" width="6.125" style="70" hidden="1" customWidth="1"/>
    <col min="15" max="15" width="3.875" style="67" customWidth="1"/>
    <col min="16" max="16" width="16.375" style="68" customWidth="1"/>
    <col min="17" max="17" width="6.125" style="68" hidden="1" customWidth="1"/>
    <col min="18" max="19" width="5.625" style="68" customWidth="1"/>
    <col min="20" max="20" width="6.125" style="69" hidden="1" customWidth="1"/>
    <col min="21" max="21" width="6.125" style="70" hidden="1" customWidth="1"/>
    <col min="22" max="22" width="3.625" style="71" customWidth="1"/>
    <col min="23" max="23" width="16.125" style="68" customWidth="1"/>
    <col min="24" max="24" width="6.125" style="68" hidden="1" customWidth="1"/>
    <col min="25" max="26" width="5.625" style="68" customWidth="1"/>
    <col min="27" max="27" width="6.125" style="69" hidden="1" customWidth="1"/>
    <col min="28" max="28" width="6.125" style="70" hidden="1" customWidth="1"/>
    <col min="29" max="29" width="4.125" style="67" customWidth="1"/>
    <col min="30" max="30" width="16.125" style="68" customWidth="1"/>
    <col min="31" max="31" width="6.125" style="68" hidden="1" customWidth="1"/>
    <col min="32" max="33" width="5.625" style="68" customWidth="1"/>
    <col min="34" max="34" width="6.125" style="72" hidden="1" customWidth="1"/>
    <col min="35" max="35" width="6.125" style="70" hidden="1" customWidth="1"/>
    <col min="36" max="36" width="11.00390625" style="73" customWidth="1"/>
    <col min="37" max="37" width="8.00390625" style="73" bestFit="1" customWidth="1"/>
    <col min="38" max="16384" width="6.125" style="73" customWidth="1"/>
  </cols>
  <sheetData>
    <row r="1" spans="1:35" s="215" customFormat="1" ht="30" customHeight="1">
      <c r="A1" s="408" t="s">
        <v>263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336"/>
      <c r="N1" s="336"/>
      <c r="O1" s="337">
        <v>12</v>
      </c>
      <c r="P1" s="397" t="s">
        <v>264</v>
      </c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216"/>
      <c r="AF1" s="216">
        <v>72</v>
      </c>
      <c r="AG1" s="216"/>
      <c r="AH1" s="216"/>
      <c r="AI1" s="216"/>
    </row>
    <row r="2" spans="1:35" s="40" customFormat="1" ht="18.75" customHeight="1">
      <c r="A2" s="393" t="s">
        <v>24</v>
      </c>
      <c r="B2" s="394">
        <v>45047</v>
      </c>
      <c r="C2" s="394"/>
      <c r="D2" s="394"/>
      <c r="E2" s="394"/>
      <c r="F2" s="30"/>
      <c r="G2" s="31"/>
      <c r="H2" s="404" t="s">
        <v>24</v>
      </c>
      <c r="I2" s="396">
        <f>B2+1</f>
        <v>45048</v>
      </c>
      <c r="J2" s="396"/>
      <c r="K2" s="396"/>
      <c r="L2" s="396"/>
      <c r="M2" s="32"/>
      <c r="N2" s="33"/>
      <c r="O2" s="395" t="s">
        <v>24</v>
      </c>
      <c r="P2" s="405">
        <f>I2+1</f>
        <v>45049</v>
      </c>
      <c r="Q2" s="405"/>
      <c r="R2" s="405"/>
      <c r="S2" s="405"/>
      <c r="T2" s="34"/>
      <c r="U2" s="35"/>
      <c r="V2" s="395" t="s">
        <v>24</v>
      </c>
      <c r="W2" s="406">
        <f>P2+1</f>
        <v>45050</v>
      </c>
      <c r="X2" s="406"/>
      <c r="Y2" s="406"/>
      <c r="Z2" s="406"/>
      <c r="AA2" s="36"/>
      <c r="AB2" s="37"/>
      <c r="AC2" s="395" t="s">
        <v>24</v>
      </c>
      <c r="AD2" s="410">
        <f>W2+1</f>
        <v>45051</v>
      </c>
      <c r="AE2" s="410"/>
      <c r="AF2" s="410"/>
      <c r="AG2" s="410"/>
      <c r="AH2" s="38"/>
      <c r="AI2" s="179"/>
    </row>
    <row r="3" spans="1:51" s="40" customFormat="1" ht="18.75" customHeight="1">
      <c r="A3" s="393"/>
      <c r="B3" s="182" t="s">
        <v>25</v>
      </c>
      <c r="C3" s="182" t="s">
        <v>26</v>
      </c>
      <c r="D3" s="183" t="s">
        <v>27</v>
      </c>
      <c r="E3" s="183" t="s">
        <v>28</v>
      </c>
      <c r="F3" s="43" t="s">
        <v>29</v>
      </c>
      <c r="G3" s="41" t="s">
        <v>30</v>
      </c>
      <c r="H3" s="40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395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395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395"/>
      <c r="AD3" s="41" t="s">
        <v>25</v>
      </c>
      <c r="AE3" s="41" t="s">
        <v>26</v>
      </c>
      <c r="AF3" s="42" t="s">
        <v>27</v>
      </c>
      <c r="AG3" s="42" t="s">
        <v>28</v>
      </c>
      <c r="AH3" s="43" t="s">
        <v>29</v>
      </c>
      <c r="AI3" s="180" t="s">
        <v>30</v>
      </c>
      <c r="AU3" s="375" t="s">
        <v>133</v>
      </c>
      <c r="AV3" s="22" t="s">
        <v>134</v>
      </c>
      <c r="AW3" s="22">
        <v>12</v>
      </c>
      <c r="AX3" s="75" t="s">
        <v>135</v>
      </c>
      <c r="AY3" s="75" t="s">
        <v>0</v>
      </c>
    </row>
    <row r="4" spans="1:51" s="50" customFormat="1" ht="18.75" customHeight="1" hidden="1">
      <c r="A4" s="393"/>
      <c r="B4" s="409" t="s">
        <v>31</v>
      </c>
      <c r="C4" s="409"/>
      <c r="D4" s="409"/>
      <c r="E4" s="409"/>
      <c r="F4" s="45"/>
      <c r="G4" s="46"/>
      <c r="H4" s="404"/>
      <c r="I4" s="403" t="s">
        <v>32</v>
      </c>
      <c r="J4" s="403"/>
      <c r="K4" s="403"/>
      <c r="L4" s="403"/>
      <c r="M4" s="45"/>
      <c r="N4" s="47"/>
      <c r="O4" s="395"/>
      <c r="P4" s="403" t="s">
        <v>33</v>
      </c>
      <c r="Q4" s="403"/>
      <c r="R4" s="403"/>
      <c r="S4" s="403"/>
      <c r="T4" s="43"/>
      <c r="U4" s="48"/>
      <c r="V4" s="395"/>
      <c r="W4" s="403" t="s">
        <v>34</v>
      </c>
      <c r="X4" s="403"/>
      <c r="Y4" s="403"/>
      <c r="Z4" s="403"/>
      <c r="AA4" s="45"/>
      <c r="AB4" s="47"/>
      <c r="AC4" s="395"/>
      <c r="AD4" s="401" t="s">
        <v>35</v>
      </c>
      <c r="AE4" s="401"/>
      <c r="AF4" s="401"/>
      <c r="AG4" s="401"/>
      <c r="AH4" s="49"/>
      <c r="AI4" s="181"/>
      <c r="AU4" s="376"/>
      <c r="AV4" s="22" t="s">
        <v>136</v>
      </c>
      <c r="AW4" s="22">
        <v>19.5</v>
      </c>
      <c r="AX4" s="75" t="s">
        <v>135</v>
      </c>
      <c r="AY4" s="75" t="s">
        <v>0</v>
      </c>
    </row>
    <row r="5" spans="1:51" s="50" customFormat="1" ht="18.75" customHeight="1">
      <c r="A5" s="386" t="s">
        <v>36</v>
      </c>
      <c r="B5" s="378"/>
      <c r="C5" s="378"/>
      <c r="D5" s="378"/>
      <c r="E5" s="378"/>
      <c r="F5" s="87"/>
      <c r="G5" s="88"/>
      <c r="H5" s="386" t="s">
        <v>36</v>
      </c>
      <c r="I5" s="378"/>
      <c r="J5" s="378"/>
      <c r="K5" s="378"/>
      <c r="L5" s="378"/>
      <c r="M5" s="87"/>
      <c r="N5" s="89"/>
      <c r="O5" s="402" t="s">
        <v>36</v>
      </c>
      <c r="P5" s="378"/>
      <c r="Q5" s="378"/>
      <c r="R5" s="378"/>
      <c r="S5" s="378"/>
      <c r="T5" s="87"/>
      <c r="U5" s="89"/>
      <c r="V5" s="402" t="s">
        <v>36</v>
      </c>
      <c r="W5" s="378"/>
      <c r="X5" s="378"/>
      <c r="Y5" s="378"/>
      <c r="Z5" s="378"/>
      <c r="AA5" s="87"/>
      <c r="AB5" s="89"/>
      <c r="AC5" s="402" t="s">
        <v>36</v>
      </c>
      <c r="AD5" s="386"/>
      <c r="AE5" s="386"/>
      <c r="AF5" s="386"/>
      <c r="AG5" s="386"/>
      <c r="AH5" s="45"/>
      <c r="AI5" s="181"/>
      <c r="AN5" s="372" t="s">
        <v>198</v>
      </c>
      <c r="AO5" s="201" t="s">
        <v>205</v>
      </c>
      <c r="AP5" s="22">
        <v>1</v>
      </c>
      <c r="AQ5" s="75">
        <f>ROUND($AF$1*AP5,0)</f>
        <v>72</v>
      </c>
      <c r="AR5" s="75" t="s">
        <v>54</v>
      </c>
      <c r="AU5" s="376"/>
      <c r="AV5" s="22" t="s">
        <v>206</v>
      </c>
      <c r="AW5" s="22">
        <v>31</v>
      </c>
      <c r="AX5" s="75">
        <f>ROUND($AF$1*AW5/1000,0)</f>
        <v>2</v>
      </c>
      <c r="AY5" s="75" t="s">
        <v>0</v>
      </c>
    </row>
    <row r="6" spans="1:51" s="50" customFormat="1" ht="18.75" customHeight="1">
      <c r="A6" s="372" t="s">
        <v>267</v>
      </c>
      <c r="B6" s="56" t="s">
        <v>205</v>
      </c>
      <c r="C6" s="56">
        <v>1</v>
      </c>
      <c r="D6" s="93">
        <f>ROUND($AF$1*C6,0)</f>
        <v>72</v>
      </c>
      <c r="E6" s="93" t="s">
        <v>54</v>
      </c>
      <c r="F6" s="156">
        <v>4</v>
      </c>
      <c r="G6" s="52">
        <f aca="true" t="shared" si="0" ref="G6:G12">D6*F6</f>
        <v>288</v>
      </c>
      <c r="H6" s="398" t="s">
        <v>111</v>
      </c>
      <c r="I6" s="148" t="s">
        <v>112</v>
      </c>
      <c r="J6" s="53">
        <v>2</v>
      </c>
      <c r="K6" s="75">
        <f>ROUND($AF$1*J6/12,0)</f>
        <v>12</v>
      </c>
      <c r="L6" s="74" t="s">
        <v>113</v>
      </c>
      <c r="M6" s="51">
        <v>52</v>
      </c>
      <c r="N6" s="52">
        <f aca="true" t="shared" si="1" ref="N6:N12">K6*M6</f>
        <v>624</v>
      </c>
      <c r="O6" s="398" t="s">
        <v>127</v>
      </c>
      <c r="P6" s="53" t="s">
        <v>128</v>
      </c>
      <c r="Q6" s="53">
        <v>42</v>
      </c>
      <c r="R6" s="75">
        <f>ROUND($AF$1*Q6/500,1)</f>
        <v>6</v>
      </c>
      <c r="S6" s="99" t="s">
        <v>20</v>
      </c>
      <c r="T6" s="51">
        <v>80</v>
      </c>
      <c r="U6" s="52">
        <f aca="true" t="shared" si="2" ref="U6:U15">R6*T6</f>
        <v>480</v>
      </c>
      <c r="V6" s="375" t="s">
        <v>166</v>
      </c>
      <c r="W6" s="22" t="s">
        <v>64</v>
      </c>
      <c r="X6" s="23">
        <v>1.2</v>
      </c>
      <c r="Y6" s="75">
        <f>ROUND($AF$1*X6/20,0)</f>
        <v>4</v>
      </c>
      <c r="Z6" s="24" t="s">
        <v>65</v>
      </c>
      <c r="AA6" s="51">
        <v>45</v>
      </c>
      <c r="AB6" s="52">
        <f aca="true" t="shared" si="3" ref="AB6:AB11">Y6*AA6</f>
        <v>180</v>
      </c>
      <c r="AC6" s="375" t="s">
        <v>133</v>
      </c>
      <c r="AD6" s="22" t="s">
        <v>134</v>
      </c>
      <c r="AE6" s="22">
        <v>12</v>
      </c>
      <c r="AF6" s="75" t="s">
        <v>135</v>
      </c>
      <c r="AG6" s="75" t="s">
        <v>0</v>
      </c>
      <c r="AH6" s="156"/>
      <c r="AI6" s="52"/>
      <c r="AN6" s="373"/>
      <c r="AO6" s="22" t="s">
        <v>186</v>
      </c>
      <c r="AP6" s="22">
        <v>0.66</v>
      </c>
      <c r="AQ6" s="75">
        <v>4</v>
      </c>
      <c r="AR6" s="75" t="s">
        <v>22</v>
      </c>
      <c r="AU6" s="376"/>
      <c r="AV6" s="22" t="s">
        <v>137</v>
      </c>
      <c r="AW6" s="22">
        <v>30</v>
      </c>
      <c r="AX6" s="75">
        <v>3</v>
      </c>
      <c r="AY6" s="75" t="s">
        <v>0</v>
      </c>
    </row>
    <row r="7" spans="1:51" s="50" customFormat="1" ht="18.75" customHeight="1">
      <c r="A7" s="373"/>
      <c r="B7" s="56" t="s">
        <v>186</v>
      </c>
      <c r="C7" s="56">
        <v>0.66</v>
      </c>
      <c r="D7" s="93">
        <f>ROUND($AF$1*C7/10,0)</f>
        <v>5</v>
      </c>
      <c r="E7" s="93" t="s">
        <v>22</v>
      </c>
      <c r="F7" s="156">
        <v>73</v>
      </c>
      <c r="G7" s="52">
        <f t="shared" si="0"/>
        <v>365</v>
      </c>
      <c r="H7" s="399"/>
      <c r="I7" s="53" t="s">
        <v>114</v>
      </c>
      <c r="J7" s="53">
        <v>30</v>
      </c>
      <c r="K7" s="75">
        <f>ROUND($AF$1*J7/1000,1)</f>
        <v>2.2</v>
      </c>
      <c r="L7" s="74" t="s">
        <v>0</v>
      </c>
      <c r="M7" s="51">
        <v>51</v>
      </c>
      <c r="N7" s="52">
        <f t="shared" si="1"/>
        <v>112.2</v>
      </c>
      <c r="O7" s="399"/>
      <c r="P7" s="53" t="s">
        <v>1</v>
      </c>
      <c r="Q7" s="53">
        <v>16</v>
      </c>
      <c r="R7" s="75">
        <f>ROUND($AF$1*Q7/1000,1)</f>
        <v>1.2</v>
      </c>
      <c r="S7" s="74" t="s">
        <v>0</v>
      </c>
      <c r="T7" s="51">
        <v>54</v>
      </c>
      <c r="U7" s="52">
        <f t="shared" si="2"/>
        <v>64.8</v>
      </c>
      <c r="V7" s="376"/>
      <c r="W7" s="22"/>
      <c r="X7" s="23"/>
      <c r="Y7" s="75"/>
      <c r="Z7" s="24"/>
      <c r="AA7" s="51"/>
      <c r="AB7" s="52"/>
      <c r="AC7" s="376"/>
      <c r="AD7" s="22" t="s">
        <v>136</v>
      </c>
      <c r="AE7" s="22">
        <v>19.5</v>
      </c>
      <c r="AF7" s="75" t="s">
        <v>135</v>
      </c>
      <c r="AG7" s="75" t="s">
        <v>0</v>
      </c>
      <c r="AH7" s="156"/>
      <c r="AI7" s="52"/>
      <c r="AN7" s="373"/>
      <c r="AO7" s="60" t="s">
        <v>56</v>
      </c>
      <c r="AP7" s="52">
        <v>8</v>
      </c>
      <c r="AQ7" s="75">
        <f>ROUND($AF$1*AP7/1000,1)</f>
        <v>0.6</v>
      </c>
      <c r="AR7" s="75" t="s">
        <v>0</v>
      </c>
      <c r="AU7" s="376"/>
      <c r="AV7" s="22" t="s">
        <v>68</v>
      </c>
      <c r="AW7" s="22">
        <v>4</v>
      </c>
      <c r="AX7" s="75">
        <v>0.3</v>
      </c>
      <c r="AY7" s="75" t="s">
        <v>0</v>
      </c>
    </row>
    <row r="8" spans="1:51" s="50" customFormat="1" ht="18.75" customHeight="1">
      <c r="A8" s="373"/>
      <c r="B8" s="549" t="s">
        <v>56</v>
      </c>
      <c r="C8" s="78">
        <v>8</v>
      </c>
      <c r="D8" s="93">
        <f>ROUND($AF$1*C8/1000,1)</f>
        <v>0.6</v>
      </c>
      <c r="E8" s="93" t="s">
        <v>0</v>
      </c>
      <c r="F8" s="156">
        <v>71</v>
      </c>
      <c r="G8" s="52">
        <f t="shared" si="0"/>
        <v>42.6</v>
      </c>
      <c r="H8" s="399"/>
      <c r="I8" s="53" t="s">
        <v>185</v>
      </c>
      <c r="J8" s="53">
        <v>1</v>
      </c>
      <c r="K8" s="75" t="s">
        <v>21</v>
      </c>
      <c r="L8" s="74" t="s">
        <v>115</v>
      </c>
      <c r="M8" s="51"/>
      <c r="N8" s="52"/>
      <c r="O8" s="399"/>
      <c r="P8" s="53" t="s">
        <v>62</v>
      </c>
      <c r="Q8" s="53">
        <v>8</v>
      </c>
      <c r="R8" s="75">
        <f>ROUND($AF$1*Q8/1000,1)</f>
        <v>0.6</v>
      </c>
      <c r="S8" s="74" t="s">
        <v>0</v>
      </c>
      <c r="T8" s="51">
        <v>42</v>
      </c>
      <c r="U8" s="52">
        <f t="shared" si="2"/>
        <v>25.2</v>
      </c>
      <c r="V8" s="376"/>
      <c r="W8" s="22" t="s">
        <v>186</v>
      </c>
      <c r="X8" s="22">
        <v>0.66</v>
      </c>
      <c r="Y8" s="75">
        <f>ROUND($AF$1*X8/10,0)</f>
        <v>5</v>
      </c>
      <c r="Z8" s="75" t="s">
        <v>22</v>
      </c>
      <c r="AA8" s="156">
        <v>73</v>
      </c>
      <c r="AB8" s="52">
        <f t="shared" si="3"/>
        <v>365</v>
      </c>
      <c r="AC8" s="376"/>
      <c r="AD8" s="22" t="s">
        <v>206</v>
      </c>
      <c r="AE8" s="22">
        <v>31</v>
      </c>
      <c r="AF8" s="75">
        <f>ROUND($AF$1*AE8/1000,0)</f>
        <v>2</v>
      </c>
      <c r="AG8" s="75" t="s">
        <v>0</v>
      </c>
      <c r="AH8" s="156">
        <v>53</v>
      </c>
      <c r="AI8" s="52">
        <f aca="true" t="shared" si="4" ref="AI8:AI15">AF8*AH8</f>
        <v>106</v>
      </c>
      <c r="AN8" s="373"/>
      <c r="AO8" s="192"/>
      <c r="AP8" s="55"/>
      <c r="AQ8" s="75"/>
      <c r="AR8" s="75"/>
      <c r="AU8" s="376"/>
      <c r="AV8" s="22" t="s">
        <v>138</v>
      </c>
      <c r="AW8" s="22">
        <v>5</v>
      </c>
      <c r="AX8" s="75">
        <v>0.3</v>
      </c>
      <c r="AY8" s="75" t="s">
        <v>0</v>
      </c>
    </row>
    <row r="9" spans="1:51" s="50" customFormat="1" ht="18.75" customHeight="1">
      <c r="A9" s="373"/>
      <c r="B9" s="550"/>
      <c r="C9" s="551"/>
      <c r="D9" s="93"/>
      <c r="E9" s="93"/>
      <c r="F9" s="156"/>
      <c r="G9" s="52">
        <f t="shared" si="0"/>
        <v>0</v>
      </c>
      <c r="H9" s="399"/>
      <c r="I9" s="22" t="s">
        <v>116</v>
      </c>
      <c r="J9" s="53">
        <v>10</v>
      </c>
      <c r="K9" s="75">
        <f>ROUND($AF$1*J9/1000,1)</f>
        <v>0.7</v>
      </c>
      <c r="L9" s="74" t="s">
        <v>0</v>
      </c>
      <c r="M9" s="51">
        <v>50</v>
      </c>
      <c r="N9" s="52">
        <f t="shared" si="1"/>
        <v>35</v>
      </c>
      <c r="O9" s="399"/>
      <c r="P9" s="22" t="s">
        <v>129</v>
      </c>
      <c r="Q9" s="53">
        <v>4</v>
      </c>
      <c r="R9" s="75">
        <f>ROUND($AF$1*Q9/1000,1)</f>
        <v>0.3</v>
      </c>
      <c r="S9" s="74" t="s">
        <v>0</v>
      </c>
      <c r="T9" s="51">
        <v>120</v>
      </c>
      <c r="U9" s="52">
        <f t="shared" si="2"/>
        <v>36</v>
      </c>
      <c r="V9" s="376"/>
      <c r="W9" s="22" t="s">
        <v>270</v>
      </c>
      <c r="X9" s="22">
        <v>10</v>
      </c>
      <c r="Y9" s="75">
        <f>ROUND($AF$1*X9/90,0)</f>
        <v>8</v>
      </c>
      <c r="Z9" s="24" t="s">
        <v>19</v>
      </c>
      <c r="AA9" s="51">
        <v>65</v>
      </c>
      <c r="AB9" s="52">
        <f t="shared" si="3"/>
        <v>520</v>
      </c>
      <c r="AC9" s="376"/>
      <c r="AD9" s="22" t="s">
        <v>137</v>
      </c>
      <c r="AE9" s="22">
        <v>40</v>
      </c>
      <c r="AF9" s="75">
        <f>ROUND($AF$1*AE9/1000,0)</f>
        <v>3</v>
      </c>
      <c r="AG9" s="75" t="s">
        <v>0</v>
      </c>
      <c r="AH9" s="156">
        <v>192</v>
      </c>
      <c r="AI9" s="52">
        <f t="shared" si="4"/>
        <v>576</v>
      </c>
      <c r="AN9" s="373"/>
      <c r="AO9" s="22"/>
      <c r="AP9" s="22"/>
      <c r="AQ9" s="75"/>
      <c r="AR9" s="75"/>
      <c r="AU9" s="376"/>
      <c r="AV9" s="22" t="s">
        <v>63</v>
      </c>
      <c r="AW9" s="22">
        <v>3</v>
      </c>
      <c r="AX9" s="75">
        <v>0.2</v>
      </c>
      <c r="AY9" s="75" t="s">
        <v>0</v>
      </c>
    </row>
    <row r="10" spans="1:51" s="50" customFormat="1" ht="18.75" customHeight="1">
      <c r="A10" s="373"/>
      <c r="B10" s="56"/>
      <c r="C10" s="56"/>
      <c r="D10" s="93"/>
      <c r="E10" s="93"/>
      <c r="F10" s="156"/>
      <c r="G10" s="52">
        <f t="shared" si="0"/>
        <v>0</v>
      </c>
      <c r="H10" s="399"/>
      <c r="I10" s="53" t="s">
        <v>117</v>
      </c>
      <c r="J10" s="53">
        <v>0.2</v>
      </c>
      <c r="K10" s="75">
        <f>ROUND($AF$1*J10/5,0)</f>
        <v>3</v>
      </c>
      <c r="L10" s="74" t="s">
        <v>115</v>
      </c>
      <c r="M10" s="51">
        <v>13</v>
      </c>
      <c r="N10" s="52">
        <f t="shared" si="1"/>
        <v>39</v>
      </c>
      <c r="O10" s="399"/>
      <c r="P10" s="53" t="s">
        <v>130</v>
      </c>
      <c r="Q10" s="53">
        <v>10</v>
      </c>
      <c r="R10" s="75" t="s">
        <v>21</v>
      </c>
      <c r="S10" s="74" t="s">
        <v>0</v>
      </c>
      <c r="T10" s="51"/>
      <c r="U10" s="52"/>
      <c r="V10" s="376"/>
      <c r="W10" s="22" t="s">
        <v>56</v>
      </c>
      <c r="X10" s="23">
        <v>1</v>
      </c>
      <c r="Y10" s="75">
        <f>ROUND($AF$1*X10/1000,1)</f>
        <v>0.1</v>
      </c>
      <c r="Z10" s="74" t="s">
        <v>0</v>
      </c>
      <c r="AA10" s="51">
        <v>71</v>
      </c>
      <c r="AB10" s="52">
        <f t="shared" si="3"/>
        <v>7.1000000000000005</v>
      </c>
      <c r="AC10" s="376"/>
      <c r="AD10" s="22" t="s">
        <v>68</v>
      </c>
      <c r="AE10" s="22">
        <v>3</v>
      </c>
      <c r="AF10" s="75">
        <f>ROUND($AF$1*AE10/1000,1)</f>
        <v>0.2</v>
      </c>
      <c r="AG10" s="75" t="s">
        <v>0</v>
      </c>
      <c r="AH10" s="156">
        <v>210</v>
      </c>
      <c r="AI10" s="52">
        <f t="shared" si="4"/>
        <v>42</v>
      </c>
      <c r="AN10" s="373"/>
      <c r="AO10" s="60" t="s">
        <v>255</v>
      </c>
      <c r="AP10" s="52">
        <v>67</v>
      </c>
      <c r="AQ10" s="75">
        <f>ROUND($AF$1*AP10/2000,0)</f>
        <v>2</v>
      </c>
      <c r="AR10" s="52" t="s">
        <v>48</v>
      </c>
      <c r="AU10" s="376"/>
      <c r="AV10" s="22" t="s">
        <v>116</v>
      </c>
      <c r="AW10" s="22">
        <v>5</v>
      </c>
      <c r="AX10" s="75">
        <v>0.3</v>
      </c>
      <c r="AY10" s="75" t="s">
        <v>0</v>
      </c>
    </row>
    <row r="11" spans="1:51" s="50" customFormat="1" ht="18.75" customHeight="1">
      <c r="A11" s="373"/>
      <c r="B11" s="549" t="s">
        <v>238</v>
      </c>
      <c r="C11" s="78">
        <v>88</v>
      </c>
      <c r="D11" s="93">
        <f>ROUND($AF$1*C11/1000,0)</f>
        <v>6</v>
      </c>
      <c r="E11" s="78" t="s">
        <v>48</v>
      </c>
      <c r="F11" s="156">
        <v>95</v>
      </c>
      <c r="G11" s="52">
        <f t="shared" si="0"/>
        <v>570</v>
      </c>
      <c r="H11" s="399"/>
      <c r="I11" s="53" t="s">
        <v>199</v>
      </c>
      <c r="J11" s="53">
        <v>70</v>
      </c>
      <c r="K11" s="75">
        <f>ROUND($AF$1*J11/1000,1)</f>
        <v>5</v>
      </c>
      <c r="L11" s="74" t="s">
        <v>0</v>
      </c>
      <c r="M11" s="51">
        <v>38</v>
      </c>
      <c r="N11" s="52">
        <f t="shared" si="1"/>
        <v>190</v>
      </c>
      <c r="O11" s="399"/>
      <c r="P11" s="53" t="s">
        <v>23</v>
      </c>
      <c r="Q11" s="53">
        <v>8</v>
      </c>
      <c r="R11" s="75">
        <f>ROUND($AF$1*Q11/1000,1)</f>
        <v>0.6</v>
      </c>
      <c r="S11" s="74" t="s">
        <v>0</v>
      </c>
      <c r="T11" s="51">
        <v>63</v>
      </c>
      <c r="U11" s="52">
        <f t="shared" si="2"/>
        <v>37.8</v>
      </c>
      <c r="V11" s="376"/>
      <c r="W11" s="22" t="s">
        <v>37</v>
      </c>
      <c r="X11" s="22">
        <v>25</v>
      </c>
      <c r="Y11" s="75">
        <f>ROUND($AF$1*X11/1000,1)</f>
        <v>1.8</v>
      </c>
      <c r="Z11" s="74" t="s">
        <v>0</v>
      </c>
      <c r="AA11" s="51">
        <v>56</v>
      </c>
      <c r="AB11" s="52">
        <f t="shared" si="3"/>
        <v>100.8</v>
      </c>
      <c r="AC11" s="376"/>
      <c r="AD11" s="22" t="s">
        <v>138</v>
      </c>
      <c r="AE11" s="22">
        <v>3</v>
      </c>
      <c r="AF11" s="75">
        <f>ROUND($AF$1*AE11/1000,1)</f>
        <v>0.2</v>
      </c>
      <c r="AG11" s="75" t="s">
        <v>0</v>
      </c>
      <c r="AH11" s="156">
        <v>135</v>
      </c>
      <c r="AI11" s="52">
        <f t="shared" si="4"/>
        <v>27</v>
      </c>
      <c r="AN11" s="373"/>
      <c r="AO11" s="192" t="s">
        <v>96</v>
      </c>
      <c r="AP11" s="55">
        <v>67</v>
      </c>
      <c r="AQ11" s="75">
        <f>ROUND($AF$1*AP11/2000,0)</f>
        <v>2</v>
      </c>
      <c r="AR11" s="75" t="s">
        <v>19</v>
      </c>
      <c r="AU11" s="376"/>
      <c r="AV11" s="80" t="s">
        <v>139</v>
      </c>
      <c r="AW11" s="59"/>
      <c r="AX11" s="75" t="s">
        <v>21</v>
      </c>
      <c r="AY11" s="75" t="s">
        <v>0</v>
      </c>
    </row>
    <row r="12" spans="1:51" s="50" customFormat="1" ht="18.75" customHeight="1">
      <c r="A12" s="373"/>
      <c r="B12" s="550" t="s">
        <v>266</v>
      </c>
      <c r="C12" s="551">
        <v>40</v>
      </c>
      <c r="D12" s="93">
        <f>ROUND($AF$1*C12/1000,0)</f>
        <v>3</v>
      </c>
      <c r="E12" s="93" t="s">
        <v>19</v>
      </c>
      <c r="F12" s="156">
        <v>45</v>
      </c>
      <c r="G12" s="52">
        <f t="shared" si="0"/>
        <v>135</v>
      </c>
      <c r="H12" s="399"/>
      <c r="I12" s="22"/>
      <c r="J12" s="22"/>
      <c r="K12" s="93"/>
      <c r="L12" s="97"/>
      <c r="M12" s="51"/>
      <c r="N12" s="52">
        <f t="shared" si="1"/>
        <v>0</v>
      </c>
      <c r="O12" s="399"/>
      <c r="P12" s="22" t="s">
        <v>117</v>
      </c>
      <c r="Q12" s="22" t="s">
        <v>21</v>
      </c>
      <c r="R12" s="52">
        <v>3</v>
      </c>
      <c r="S12" s="61" t="s">
        <v>20</v>
      </c>
      <c r="T12" s="51">
        <v>13</v>
      </c>
      <c r="U12" s="52">
        <f t="shared" si="2"/>
        <v>39</v>
      </c>
      <c r="V12" s="376"/>
      <c r="W12" s="27"/>
      <c r="X12" s="28"/>
      <c r="Y12" s="75"/>
      <c r="Z12" s="74"/>
      <c r="AA12" s="51"/>
      <c r="AB12" s="52"/>
      <c r="AC12" s="376"/>
      <c r="AD12" s="22" t="s">
        <v>63</v>
      </c>
      <c r="AE12" s="22">
        <v>5</v>
      </c>
      <c r="AF12" s="75">
        <f>ROUND($AF$1*AE12/1000,1)</f>
        <v>0.4</v>
      </c>
      <c r="AG12" s="75" t="s">
        <v>0</v>
      </c>
      <c r="AH12" s="156">
        <v>42</v>
      </c>
      <c r="AI12" s="52">
        <f t="shared" si="4"/>
        <v>16.8</v>
      </c>
      <c r="AN12" s="373"/>
      <c r="AO12" s="94"/>
      <c r="AP12" s="94"/>
      <c r="AQ12" s="95"/>
      <c r="AR12" s="96"/>
      <c r="AU12" s="376"/>
      <c r="AV12" s="59" t="s">
        <v>140</v>
      </c>
      <c r="AW12" s="59">
        <v>1</v>
      </c>
      <c r="AX12" s="75">
        <v>0.1</v>
      </c>
      <c r="AY12" s="75" t="s">
        <v>0</v>
      </c>
    </row>
    <row r="13" spans="1:51" s="50" customFormat="1" ht="18.75" customHeight="1">
      <c r="A13" s="373"/>
      <c r="B13" s="94"/>
      <c r="C13" s="94"/>
      <c r="D13" s="95"/>
      <c r="E13" s="95"/>
      <c r="F13" s="156"/>
      <c r="G13" s="52"/>
      <c r="H13" s="399"/>
      <c r="I13" s="22"/>
      <c r="J13" s="22"/>
      <c r="K13" s="93"/>
      <c r="L13" s="97"/>
      <c r="M13" s="51"/>
      <c r="N13" s="52"/>
      <c r="O13" s="399"/>
      <c r="P13" s="22"/>
      <c r="Q13" s="22"/>
      <c r="R13" s="93"/>
      <c r="S13" s="97"/>
      <c r="T13" s="51"/>
      <c r="U13" s="52">
        <f t="shared" si="2"/>
        <v>0</v>
      </c>
      <c r="V13" s="376"/>
      <c r="W13" s="29"/>
      <c r="X13" s="29"/>
      <c r="Y13" s="25"/>
      <c r="Z13" s="26"/>
      <c r="AA13" s="51"/>
      <c r="AB13" s="52"/>
      <c r="AC13" s="376"/>
      <c r="AD13" s="22" t="s">
        <v>116</v>
      </c>
      <c r="AE13" s="22">
        <v>5</v>
      </c>
      <c r="AF13" s="75">
        <f>ROUND($AF$1*AE13/1000,1)</f>
        <v>0.4</v>
      </c>
      <c r="AG13" s="75" t="s">
        <v>0</v>
      </c>
      <c r="AH13" s="156">
        <v>50</v>
      </c>
      <c r="AI13" s="52">
        <f t="shared" si="4"/>
        <v>20</v>
      </c>
      <c r="AN13" s="373"/>
      <c r="AO13" s="98"/>
      <c r="AP13" s="98"/>
      <c r="AQ13" s="95"/>
      <c r="AR13" s="96"/>
      <c r="AU13" s="377" t="s">
        <v>39</v>
      </c>
      <c r="AV13" s="378"/>
      <c r="AW13" s="378"/>
      <c r="AX13" s="378"/>
      <c r="AY13" s="378"/>
    </row>
    <row r="14" spans="1:51" s="50" customFormat="1" ht="18.75" customHeight="1">
      <c r="A14" s="373"/>
      <c r="B14" s="98"/>
      <c r="C14" s="98"/>
      <c r="D14" s="95"/>
      <c r="E14" s="96"/>
      <c r="F14" s="51"/>
      <c r="G14" s="52"/>
      <c r="H14" s="399"/>
      <c r="I14" s="22"/>
      <c r="J14" s="22"/>
      <c r="K14" s="93"/>
      <c r="L14" s="97"/>
      <c r="M14" s="51"/>
      <c r="N14" s="52"/>
      <c r="O14" s="399"/>
      <c r="P14" s="22"/>
      <c r="Q14" s="22"/>
      <c r="R14" s="75"/>
      <c r="S14" s="74"/>
      <c r="T14" s="51"/>
      <c r="U14" s="52"/>
      <c r="V14" s="376"/>
      <c r="W14" s="29"/>
      <c r="X14" s="29"/>
      <c r="Y14" s="25"/>
      <c r="Z14" s="26"/>
      <c r="AA14" s="51"/>
      <c r="AB14" s="52"/>
      <c r="AC14" s="376"/>
      <c r="AD14" s="80" t="s">
        <v>139</v>
      </c>
      <c r="AE14" s="59"/>
      <c r="AF14" s="75" t="s">
        <v>21</v>
      </c>
      <c r="AG14" s="75" t="s">
        <v>0</v>
      </c>
      <c r="AH14" s="156"/>
      <c r="AI14" s="52"/>
      <c r="AN14" s="373"/>
      <c r="AO14" s="98"/>
      <c r="AP14" s="98"/>
      <c r="AQ14" s="95"/>
      <c r="AR14" s="96"/>
      <c r="AU14" s="375" t="s">
        <v>42</v>
      </c>
      <c r="AV14" s="28" t="s">
        <v>58</v>
      </c>
      <c r="AW14" s="28">
        <v>40</v>
      </c>
      <c r="AX14" s="75">
        <v>3</v>
      </c>
      <c r="AY14" s="99" t="s">
        <v>0</v>
      </c>
    </row>
    <row r="15" spans="1:51" s="40" customFormat="1" ht="18.75" customHeight="1">
      <c r="A15" s="373"/>
      <c r="B15" s="98"/>
      <c r="C15" s="98"/>
      <c r="D15" s="95"/>
      <c r="E15" s="96"/>
      <c r="F15" s="51"/>
      <c r="G15" s="52"/>
      <c r="H15" s="399"/>
      <c r="I15" s="22"/>
      <c r="J15" s="22"/>
      <c r="K15" s="93"/>
      <c r="L15" s="97"/>
      <c r="M15" s="51"/>
      <c r="N15" s="52"/>
      <c r="O15" s="400"/>
      <c r="P15" s="22"/>
      <c r="Q15" s="22"/>
      <c r="R15" s="158"/>
      <c r="S15" s="159"/>
      <c r="T15" s="51"/>
      <c r="U15" s="52">
        <f t="shared" si="2"/>
        <v>0</v>
      </c>
      <c r="V15" s="376"/>
      <c r="W15" s="23"/>
      <c r="X15" s="23"/>
      <c r="Y15" s="25"/>
      <c r="Z15" s="26"/>
      <c r="AA15" s="51"/>
      <c r="AB15" s="52"/>
      <c r="AC15" s="376"/>
      <c r="AD15" s="59" t="s">
        <v>140</v>
      </c>
      <c r="AE15" s="59">
        <v>1</v>
      </c>
      <c r="AF15" s="75">
        <f>ROUND($AF$1*AE15/1000,1)</f>
        <v>0.1</v>
      </c>
      <c r="AG15" s="75" t="s">
        <v>0</v>
      </c>
      <c r="AH15" s="156">
        <v>67</v>
      </c>
      <c r="AI15" s="52">
        <f t="shared" si="4"/>
        <v>6.7</v>
      </c>
      <c r="AU15" s="376"/>
      <c r="AV15" s="60" t="s">
        <v>196</v>
      </c>
      <c r="AW15" s="78"/>
      <c r="AX15" s="78">
        <v>2</v>
      </c>
      <c r="AY15" s="78" t="s">
        <v>54</v>
      </c>
    </row>
    <row r="16" spans="1:51" s="50" customFormat="1" ht="18.75" customHeight="1">
      <c r="A16" s="552" t="s">
        <v>39</v>
      </c>
      <c r="B16" s="552"/>
      <c r="C16" s="552"/>
      <c r="D16" s="552"/>
      <c r="E16" s="552"/>
      <c r="F16" s="87"/>
      <c r="G16" s="88"/>
      <c r="H16" s="374" t="s">
        <v>39</v>
      </c>
      <c r="I16" s="374"/>
      <c r="J16" s="374"/>
      <c r="K16" s="374"/>
      <c r="L16" s="374"/>
      <c r="M16" s="87"/>
      <c r="N16" s="88"/>
      <c r="O16" s="374" t="s">
        <v>39</v>
      </c>
      <c r="P16" s="374"/>
      <c r="Q16" s="374"/>
      <c r="R16" s="374"/>
      <c r="S16" s="374"/>
      <c r="T16" s="87"/>
      <c r="U16" s="88"/>
      <c r="V16" s="374" t="s">
        <v>39</v>
      </c>
      <c r="W16" s="374"/>
      <c r="X16" s="374"/>
      <c r="Y16" s="374"/>
      <c r="Z16" s="374"/>
      <c r="AA16" s="87"/>
      <c r="AB16" s="88"/>
      <c r="AC16" s="377" t="s">
        <v>39</v>
      </c>
      <c r="AD16" s="378"/>
      <c r="AE16" s="378"/>
      <c r="AF16" s="378"/>
      <c r="AG16" s="378"/>
      <c r="AH16" s="87"/>
      <c r="AI16" s="88"/>
      <c r="AN16" s="387" t="s">
        <v>131</v>
      </c>
      <c r="AO16" s="22" t="s">
        <v>59</v>
      </c>
      <c r="AP16" s="22">
        <v>5.5</v>
      </c>
      <c r="AQ16" s="75">
        <v>2</v>
      </c>
      <c r="AR16" s="52" t="s">
        <v>19</v>
      </c>
      <c r="AU16" s="376"/>
      <c r="AV16" s="27" t="s">
        <v>18</v>
      </c>
      <c r="AW16" s="28">
        <v>40</v>
      </c>
      <c r="AX16" s="75">
        <v>3</v>
      </c>
      <c r="AY16" s="74" t="s">
        <v>0</v>
      </c>
    </row>
    <row r="17" spans="1:51" s="50" customFormat="1" ht="18.75" customHeight="1">
      <c r="A17" s="553" t="s">
        <v>131</v>
      </c>
      <c r="B17" s="56" t="s">
        <v>59</v>
      </c>
      <c r="C17" s="56">
        <v>10</v>
      </c>
      <c r="D17" s="93">
        <f>ROUND($AF$1*C17/340,0)</f>
        <v>2</v>
      </c>
      <c r="E17" s="78" t="s">
        <v>19</v>
      </c>
      <c r="F17" s="156">
        <v>65</v>
      </c>
      <c r="G17" s="52">
        <f aca="true" t="shared" si="5" ref="G17:G24">D17*F17</f>
        <v>130</v>
      </c>
      <c r="H17" s="375" t="s">
        <v>42</v>
      </c>
      <c r="I17" s="28" t="s">
        <v>18</v>
      </c>
      <c r="J17" s="58">
        <v>42</v>
      </c>
      <c r="K17" s="75">
        <f>ROUND($AF$1*J17/1000,1)</f>
        <v>3</v>
      </c>
      <c r="L17" s="74" t="s">
        <v>0</v>
      </c>
      <c r="M17" s="51"/>
      <c r="N17" s="52">
        <f aca="true" t="shared" si="6" ref="N17:N22">K17*M17</f>
        <v>0</v>
      </c>
      <c r="O17" s="407" t="s">
        <v>123</v>
      </c>
      <c r="P17" s="100" t="s">
        <v>124</v>
      </c>
      <c r="Q17" s="100">
        <v>30</v>
      </c>
      <c r="R17" s="160">
        <f>ROUND($AF$1*Q17/1000,1)</f>
        <v>2.2</v>
      </c>
      <c r="S17" s="99" t="s">
        <v>0</v>
      </c>
      <c r="T17" s="51">
        <v>109</v>
      </c>
      <c r="U17" s="52">
        <f>R17*T17</f>
        <v>239.8</v>
      </c>
      <c r="V17" s="362" t="s">
        <v>73</v>
      </c>
      <c r="W17" s="338" t="s">
        <v>238</v>
      </c>
      <c r="X17" s="22">
        <v>128</v>
      </c>
      <c r="Y17" s="75" t="s">
        <v>21</v>
      </c>
      <c r="Z17" s="74" t="s">
        <v>48</v>
      </c>
      <c r="AA17" s="51"/>
      <c r="AB17" s="52"/>
      <c r="AC17" s="375" t="s">
        <v>42</v>
      </c>
      <c r="AD17" s="28" t="s">
        <v>58</v>
      </c>
      <c r="AE17" s="58">
        <v>42</v>
      </c>
      <c r="AF17" s="75">
        <f>ROUND($AF$1*AE17/1000,1)</f>
        <v>3</v>
      </c>
      <c r="AG17" s="74" t="s">
        <v>0</v>
      </c>
      <c r="AH17" s="51"/>
      <c r="AI17" s="52">
        <f>AF17*AH17</f>
        <v>0</v>
      </c>
      <c r="AN17" s="388"/>
      <c r="AO17" s="22" t="s">
        <v>132</v>
      </c>
      <c r="AP17" s="22">
        <v>30</v>
      </c>
      <c r="AQ17" s="75">
        <f>ROUND($AF$1*AP17/1000,1)</f>
        <v>2.2</v>
      </c>
      <c r="AR17" s="52" t="s">
        <v>0</v>
      </c>
      <c r="AU17" s="376"/>
      <c r="AV17" s="22"/>
      <c r="AW17" s="22"/>
      <c r="AX17" s="93"/>
      <c r="AY17" s="97"/>
    </row>
    <row r="18" spans="1:51" s="50" customFormat="1" ht="18.75" customHeight="1">
      <c r="A18" s="554"/>
      <c r="B18" s="56" t="s">
        <v>132</v>
      </c>
      <c r="C18" s="56">
        <v>30</v>
      </c>
      <c r="D18" s="93">
        <f>ROUND($AF$1*C18/1000,1)</f>
        <v>2.2</v>
      </c>
      <c r="E18" s="78" t="s">
        <v>0</v>
      </c>
      <c r="F18" s="156">
        <v>51</v>
      </c>
      <c r="G18" s="52">
        <f t="shared" si="5"/>
        <v>112.2</v>
      </c>
      <c r="H18" s="376"/>
      <c r="I18" s="28" t="s">
        <v>195</v>
      </c>
      <c r="J18" s="58">
        <v>42</v>
      </c>
      <c r="K18" s="75">
        <f>ROUND($AF$1*J18/1000,1)</f>
        <v>3</v>
      </c>
      <c r="L18" s="74" t="s">
        <v>0</v>
      </c>
      <c r="M18" s="51"/>
      <c r="N18" s="52">
        <f t="shared" si="6"/>
        <v>0</v>
      </c>
      <c r="O18" s="388"/>
      <c r="P18" s="100" t="s">
        <v>125</v>
      </c>
      <c r="Q18" s="100">
        <v>8</v>
      </c>
      <c r="R18" s="160">
        <f>ROUND($AF$1*Q18/1000,1)</f>
        <v>0.6</v>
      </c>
      <c r="S18" s="74" t="s">
        <v>0</v>
      </c>
      <c r="T18" s="51">
        <v>53</v>
      </c>
      <c r="U18" s="52">
        <f>R18*T18</f>
        <v>31.799999999999997</v>
      </c>
      <c r="V18" s="363"/>
      <c r="W18" s="53" t="s">
        <v>71</v>
      </c>
      <c r="X18" s="23">
        <v>16</v>
      </c>
      <c r="Y18" s="75">
        <f>ROUND($AF$1*X18/450,0)</f>
        <v>3</v>
      </c>
      <c r="Z18" s="74" t="s">
        <v>22</v>
      </c>
      <c r="AA18" s="51">
        <v>85</v>
      </c>
      <c r="AB18" s="52">
        <f>Y18*AA18</f>
        <v>255</v>
      </c>
      <c r="AC18" s="376"/>
      <c r="AD18" s="60" t="s">
        <v>196</v>
      </c>
      <c r="AE18" s="58">
        <v>42</v>
      </c>
      <c r="AF18" s="75">
        <f>ROUND($AF$1*AE18/1000,1)</f>
        <v>3</v>
      </c>
      <c r="AG18" s="74" t="s">
        <v>54</v>
      </c>
      <c r="AH18" s="51"/>
      <c r="AI18" s="52">
        <f>AF18*AH18</f>
        <v>0</v>
      </c>
      <c r="AN18" s="388"/>
      <c r="AO18" s="22" t="s">
        <v>23</v>
      </c>
      <c r="AP18" s="22">
        <v>20</v>
      </c>
      <c r="AQ18" s="75">
        <f>ROUND($AF$1*AP18/1000,1)</f>
        <v>1.4</v>
      </c>
      <c r="AR18" s="52" t="s">
        <v>0</v>
      </c>
      <c r="AU18" s="376"/>
      <c r="AV18" s="60" t="s">
        <v>260</v>
      </c>
      <c r="AW18" s="52">
        <v>150</v>
      </c>
      <c r="AX18" s="75">
        <f>ROUND($AF$1*AW18/2000,0)</f>
        <v>5</v>
      </c>
      <c r="AY18" s="61" t="s">
        <v>48</v>
      </c>
    </row>
    <row r="19" spans="1:51" s="50" customFormat="1" ht="18.75" customHeight="1">
      <c r="A19" s="554"/>
      <c r="B19" s="56" t="s">
        <v>23</v>
      </c>
      <c r="C19" s="56">
        <v>20</v>
      </c>
      <c r="D19" s="93">
        <f>ROUND($AF$1*C19/1000,1)</f>
        <v>1.4</v>
      </c>
      <c r="E19" s="78" t="s">
        <v>0</v>
      </c>
      <c r="F19" s="156">
        <v>63</v>
      </c>
      <c r="G19" s="52">
        <f t="shared" si="5"/>
        <v>88.19999999999999</v>
      </c>
      <c r="H19" s="376"/>
      <c r="I19" s="27" t="s">
        <v>45</v>
      </c>
      <c r="J19" s="58">
        <v>42</v>
      </c>
      <c r="K19" s="75">
        <f>ROUND($AF$1*J19/1000,1)</f>
        <v>3</v>
      </c>
      <c r="L19" s="74" t="s">
        <v>0</v>
      </c>
      <c r="M19" s="51"/>
      <c r="N19" s="52">
        <f t="shared" si="6"/>
        <v>0</v>
      </c>
      <c r="O19" s="388"/>
      <c r="P19" s="22" t="s">
        <v>187</v>
      </c>
      <c r="Q19" s="22">
        <v>40</v>
      </c>
      <c r="R19" s="75">
        <v>1</v>
      </c>
      <c r="S19" s="74" t="s">
        <v>20</v>
      </c>
      <c r="T19" s="51">
        <v>45</v>
      </c>
      <c r="U19" s="52">
        <f>R19*T19</f>
        <v>45</v>
      </c>
      <c r="V19" s="363"/>
      <c r="W19" s="28" t="s">
        <v>72</v>
      </c>
      <c r="X19" s="28"/>
      <c r="Y19" s="75"/>
      <c r="Z19" s="74"/>
      <c r="AA19" s="51"/>
      <c r="AB19" s="52">
        <f>Y19*AA19</f>
        <v>0</v>
      </c>
      <c r="AC19" s="376"/>
      <c r="AD19" s="27" t="s">
        <v>18</v>
      </c>
      <c r="AE19" s="58">
        <v>42</v>
      </c>
      <c r="AF19" s="75">
        <f>ROUND($AF$1*AE19/1000,1)</f>
        <v>3</v>
      </c>
      <c r="AG19" s="74" t="s">
        <v>0</v>
      </c>
      <c r="AH19" s="51"/>
      <c r="AI19" s="52">
        <f>AF19*AH19</f>
        <v>0</v>
      </c>
      <c r="AN19" s="388"/>
      <c r="AO19" s="22" t="s">
        <v>186</v>
      </c>
      <c r="AP19" s="22">
        <v>5</v>
      </c>
      <c r="AQ19" s="202">
        <v>1</v>
      </c>
      <c r="AR19" s="218" t="s">
        <v>22</v>
      </c>
      <c r="AU19" s="376"/>
      <c r="AV19" s="22"/>
      <c r="AW19" s="22"/>
      <c r="AX19" s="93"/>
      <c r="AY19" s="97"/>
    </row>
    <row r="20" spans="1:51" s="50" customFormat="1" ht="18.75" customHeight="1">
      <c r="A20" s="554"/>
      <c r="B20" s="56" t="s">
        <v>186</v>
      </c>
      <c r="C20" s="56">
        <v>8</v>
      </c>
      <c r="D20" s="93">
        <f>ROUND($AF$1*C20/600,1)</f>
        <v>1</v>
      </c>
      <c r="E20" s="78" t="s">
        <v>22</v>
      </c>
      <c r="F20" s="156">
        <v>73</v>
      </c>
      <c r="G20" s="52">
        <f t="shared" si="5"/>
        <v>73</v>
      </c>
      <c r="H20" s="376"/>
      <c r="I20" s="22"/>
      <c r="J20" s="22"/>
      <c r="K20" s="93"/>
      <c r="L20" s="97"/>
      <c r="M20" s="51"/>
      <c r="N20" s="52">
        <f t="shared" si="6"/>
        <v>0</v>
      </c>
      <c r="O20" s="388"/>
      <c r="P20" s="338" t="s">
        <v>238</v>
      </c>
      <c r="Q20" s="52">
        <v>100</v>
      </c>
      <c r="R20" s="75" t="s">
        <v>21</v>
      </c>
      <c r="S20" s="61" t="s">
        <v>48</v>
      </c>
      <c r="T20" s="51"/>
      <c r="U20" s="52"/>
      <c r="V20" s="363"/>
      <c r="W20" s="60" t="s">
        <v>74</v>
      </c>
      <c r="X20" s="23">
        <v>1</v>
      </c>
      <c r="Y20" s="75">
        <f>ROUND($AF$1*X20,0)</f>
        <v>72</v>
      </c>
      <c r="Z20" s="78" t="s">
        <v>75</v>
      </c>
      <c r="AA20" s="51"/>
      <c r="AB20" s="52">
        <f>Y20*AA20</f>
        <v>0</v>
      </c>
      <c r="AC20" s="376"/>
      <c r="AD20" s="22"/>
      <c r="AE20" s="22"/>
      <c r="AF20" s="93"/>
      <c r="AG20" s="97"/>
      <c r="AH20" s="156"/>
      <c r="AI20" s="52">
        <f>AF20*AH20</f>
        <v>0</v>
      </c>
      <c r="AN20" s="388"/>
      <c r="AO20" s="22" t="s">
        <v>105</v>
      </c>
      <c r="AP20" s="22">
        <v>10</v>
      </c>
      <c r="AQ20" s="75">
        <v>2</v>
      </c>
      <c r="AR20" s="52" t="s">
        <v>19</v>
      </c>
      <c r="AU20" s="376"/>
      <c r="AV20" s="22" t="s">
        <v>197</v>
      </c>
      <c r="AW20" s="22"/>
      <c r="AX20" s="93"/>
      <c r="AY20" s="97"/>
    </row>
    <row r="21" spans="1:51" s="50" customFormat="1" ht="18.75" customHeight="1" thickBot="1">
      <c r="A21" s="554"/>
      <c r="B21" s="56" t="s">
        <v>105</v>
      </c>
      <c r="C21" s="56">
        <v>10</v>
      </c>
      <c r="D21" s="93">
        <f>ROUND($AF$1*C21/340,0)</f>
        <v>2</v>
      </c>
      <c r="E21" s="78" t="s">
        <v>19</v>
      </c>
      <c r="F21" s="156">
        <v>65</v>
      </c>
      <c r="G21" s="52">
        <f t="shared" si="5"/>
        <v>130</v>
      </c>
      <c r="H21" s="376"/>
      <c r="I21" s="60" t="s">
        <v>238</v>
      </c>
      <c r="J21" s="52">
        <v>128</v>
      </c>
      <c r="K21" s="75">
        <f>ROUND($AF$1*J21/1000,0)</f>
        <v>9</v>
      </c>
      <c r="L21" s="61" t="s">
        <v>48</v>
      </c>
      <c r="M21" s="51">
        <v>95</v>
      </c>
      <c r="N21" s="52">
        <f t="shared" si="6"/>
        <v>855</v>
      </c>
      <c r="O21" s="388"/>
      <c r="P21" s="339" t="s">
        <v>269</v>
      </c>
      <c r="Q21" s="22"/>
      <c r="R21" s="75"/>
      <c r="S21" s="74"/>
      <c r="T21" s="51"/>
      <c r="U21" s="52">
        <f>R21*T21</f>
        <v>0</v>
      </c>
      <c r="V21" s="363"/>
      <c r="W21" s="339" t="s">
        <v>268</v>
      </c>
      <c r="X21" s="78"/>
      <c r="Y21" s="78"/>
      <c r="Z21" s="78"/>
      <c r="AA21" s="51"/>
      <c r="AB21" s="52">
        <f>Y21*AA21</f>
        <v>0</v>
      </c>
      <c r="AC21" s="376"/>
      <c r="AD21" s="338" t="s">
        <v>238</v>
      </c>
      <c r="AE21" s="52">
        <v>128</v>
      </c>
      <c r="AF21" s="75" t="s">
        <v>21</v>
      </c>
      <c r="AG21" s="61" t="s">
        <v>48</v>
      </c>
      <c r="AH21" s="156"/>
      <c r="AI21" s="52"/>
      <c r="AM21" s="362" t="s">
        <v>73</v>
      </c>
      <c r="AN21" s="388"/>
      <c r="AO21" s="60" t="s">
        <v>259</v>
      </c>
      <c r="AP21" s="52">
        <v>20</v>
      </c>
      <c r="AQ21" s="75">
        <f>ROUND($AF$1*AP21/1000,0)</f>
        <v>1</v>
      </c>
      <c r="AR21" s="52" t="s">
        <v>48</v>
      </c>
      <c r="AU21" s="376"/>
      <c r="AV21" s="306"/>
      <c r="AW21" s="306"/>
      <c r="AX21" s="277"/>
      <c r="AY21" s="278"/>
    </row>
    <row r="22" spans="1:51" s="50" customFormat="1" ht="18.75" customHeight="1">
      <c r="A22" s="554"/>
      <c r="B22" s="549" t="s">
        <v>238</v>
      </c>
      <c r="C22" s="78">
        <v>20</v>
      </c>
      <c r="D22" s="93">
        <f>ROUND($AF$1*C22/1000,0)</f>
        <v>1</v>
      </c>
      <c r="E22" s="78" t="s">
        <v>48</v>
      </c>
      <c r="F22" s="156">
        <v>95</v>
      </c>
      <c r="G22" s="52">
        <f t="shared" si="5"/>
        <v>95</v>
      </c>
      <c r="H22" s="376"/>
      <c r="I22" s="22"/>
      <c r="J22" s="22"/>
      <c r="K22" s="93"/>
      <c r="L22" s="97"/>
      <c r="M22" s="51"/>
      <c r="N22" s="52">
        <f t="shared" si="6"/>
        <v>0</v>
      </c>
      <c r="O22" s="388"/>
      <c r="P22" s="411" t="s">
        <v>126</v>
      </c>
      <c r="Q22" s="412"/>
      <c r="R22" s="412"/>
      <c r="S22" s="413"/>
      <c r="T22" s="51"/>
      <c r="U22" s="52"/>
      <c r="V22" s="363"/>
      <c r="W22" s="155"/>
      <c r="X22" s="155"/>
      <c r="Y22" s="93"/>
      <c r="Z22" s="97"/>
      <c r="AA22" s="51"/>
      <c r="AB22" s="52"/>
      <c r="AC22" s="376"/>
      <c r="AD22" s="339" t="s">
        <v>268</v>
      </c>
      <c r="AE22" s="22"/>
      <c r="AF22" s="93"/>
      <c r="AG22" s="97"/>
      <c r="AH22" s="156"/>
      <c r="AI22" s="52"/>
      <c r="AM22" s="363"/>
      <c r="AN22" s="388"/>
      <c r="AO22" s="60"/>
      <c r="AP22" s="52"/>
      <c r="AQ22" s="52"/>
      <c r="AR22" s="52"/>
      <c r="AU22" s="368" t="s">
        <v>80</v>
      </c>
      <c r="AV22" s="101" t="s">
        <v>81</v>
      </c>
      <c r="AW22" s="358">
        <v>2.2</v>
      </c>
      <c r="AX22" s="358"/>
      <c r="AY22" s="391"/>
    </row>
    <row r="23" spans="1:51" s="50" customFormat="1" ht="18.75" customHeight="1">
      <c r="A23" s="554"/>
      <c r="B23" s="549"/>
      <c r="C23" s="78"/>
      <c r="D23" s="78"/>
      <c r="E23" s="78"/>
      <c r="F23" s="156"/>
      <c r="G23" s="52">
        <f t="shared" si="5"/>
        <v>0</v>
      </c>
      <c r="H23" s="376"/>
      <c r="I23" s="22"/>
      <c r="J23" s="22"/>
      <c r="K23" s="93"/>
      <c r="L23" s="97"/>
      <c r="M23" s="51"/>
      <c r="N23" s="52"/>
      <c r="O23" s="388"/>
      <c r="P23" s="22"/>
      <c r="Q23" s="22"/>
      <c r="R23" s="93"/>
      <c r="S23" s="97"/>
      <c r="T23" s="51"/>
      <c r="U23" s="52"/>
      <c r="V23" s="363"/>
      <c r="W23" s="155"/>
      <c r="X23" s="155"/>
      <c r="Y23" s="93"/>
      <c r="Z23" s="97"/>
      <c r="AA23" s="51"/>
      <c r="AB23" s="52"/>
      <c r="AC23" s="376"/>
      <c r="AD23" s="22" t="s">
        <v>197</v>
      </c>
      <c r="AE23" s="22"/>
      <c r="AF23" s="93"/>
      <c r="AG23" s="97"/>
      <c r="AH23" s="156"/>
      <c r="AI23" s="52"/>
      <c r="AM23" s="363"/>
      <c r="AN23" s="389"/>
      <c r="AO23" s="306"/>
      <c r="AP23" s="306"/>
      <c r="AQ23" s="307"/>
      <c r="AR23" s="149"/>
      <c r="AU23" s="369"/>
      <c r="AV23" s="103" t="s">
        <v>82</v>
      </c>
      <c r="AW23" s="365">
        <v>0.5</v>
      </c>
      <c r="AX23" s="365"/>
      <c r="AY23" s="366"/>
    </row>
    <row r="24" spans="1:51" s="50" customFormat="1" ht="18.75" customHeight="1" thickBot="1">
      <c r="A24" s="555"/>
      <c r="B24" s="276"/>
      <c r="C24" s="276"/>
      <c r="D24" s="307"/>
      <c r="E24" s="277"/>
      <c r="F24" s="197"/>
      <c r="G24" s="166">
        <f t="shared" si="5"/>
        <v>0</v>
      </c>
      <c r="H24" s="376"/>
      <c r="I24" s="306"/>
      <c r="J24" s="306"/>
      <c r="K24" s="277"/>
      <c r="L24" s="278"/>
      <c r="M24" s="165"/>
      <c r="N24" s="166">
        <f>K24*M24</f>
        <v>0</v>
      </c>
      <c r="O24" s="389"/>
      <c r="P24" s="306" t="s">
        <v>17</v>
      </c>
      <c r="Q24" s="306">
        <v>84</v>
      </c>
      <c r="R24" s="149">
        <f>ROUND($AF$1*Q24/1000,1)</f>
        <v>6</v>
      </c>
      <c r="S24" s="164" t="s">
        <v>0</v>
      </c>
      <c r="T24" s="165"/>
      <c r="U24" s="166">
        <f>R24*T24</f>
        <v>0</v>
      </c>
      <c r="V24" s="390"/>
      <c r="W24" s="308"/>
      <c r="X24" s="309"/>
      <c r="Y24" s="277"/>
      <c r="Z24" s="278"/>
      <c r="AA24" s="165"/>
      <c r="AB24" s="166">
        <f>Y24*AA24</f>
        <v>0</v>
      </c>
      <c r="AC24" s="376"/>
      <c r="AD24" s="306"/>
      <c r="AE24" s="306"/>
      <c r="AF24" s="277"/>
      <c r="AG24" s="278"/>
      <c r="AH24" s="197"/>
      <c r="AI24" s="52">
        <f>AF24*AH24</f>
        <v>0</v>
      </c>
      <c r="AM24" s="363"/>
      <c r="AN24" s="60" t="s">
        <v>74</v>
      </c>
      <c r="AO24" s="78"/>
      <c r="AP24" s="78">
        <v>30</v>
      </c>
      <c r="AQ24" s="78" t="s">
        <v>75</v>
      </c>
      <c r="AU24" s="369"/>
      <c r="AV24" s="111" t="s">
        <v>85</v>
      </c>
      <c r="AW24" s="365">
        <v>0.5</v>
      </c>
      <c r="AX24" s="365"/>
      <c r="AY24" s="366"/>
    </row>
    <row r="25" spans="1:51" s="40" customFormat="1" ht="18.75" customHeight="1">
      <c r="A25" s="381" t="s">
        <v>80</v>
      </c>
      <c r="B25" s="101" t="s">
        <v>81</v>
      </c>
      <c r="C25" s="358">
        <v>2</v>
      </c>
      <c r="D25" s="358"/>
      <c r="E25" s="391"/>
      <c r="F25" s="360">
        <f>SUM(G6:G24)</f>
        <v>2029</v>
      </c>
      <c r="G25" s="361"/>
      <c r="H25" s="368" t="s">
        <v>80</v>
      </c>
      <c r="I25" s="101" t="s">
        <v>81</v>
      </c>
      <c r="J25" s="358">
        <v>2</v>
      </c>
      <c r="K25" s="358"/>
      <c r="L25" s="391"/>
      <c r="M25" s="360">
        <f>SUM(N6:N24)</f>
        <v>1855.2</v>
      </c>
      <c r="N25" s="361"/>
      <c r="O25" s="368" t="s">
        <v>80</v>
      </c>
      <c r="P25" s="101" t="s">
        <v>81</v>
      </c>
      <c r="Q25" s="358">
        <v>2</v>
      </c>
      <c r="R25" s="358"/>
      <c r="S25" s="359"/>
      <c r="T25" s="360">
        <f>SUM(U6:U24)</f>
        <v>999.3999999999999</v>
      </c>
      <c r="U25" s="361"/>
      <c r="V25" s="381" t="s">
        <v>80</v>
      </c>
      <c r="W25" s="101" t="s">
        <v>81</v>
      </c>
      <c r="X25" s="358">
        <v>2.2</v>
      </c>
      <c r="Y25" s="358"/>
      <c r="Z25" s="391"/>
      <c r="AA25" s="371">
        <f>SUM(AB6:AB24)</f>
        <v>1427.8999999999999</v>
      </c>
      <c r="AB25" s="361"/>
      <c r="AC25" s="368" t="s">
        <v>80</v>
      </c>
      <c r="AD25" s="101" t="s">
        <v>81</v>
      </c>
      <c r="AE25" s="358">
        <v>2.2</v>
      </c>
      <c r="AF25" s="358"/>
      <c r="AG25" s="391"/>
      <c r="AH25" s="371">
        <f>SUM(AI6:AI24)</f>
        <v>794.5</v>
      </c>
      <c r="AI25" s="361"/>
      <c r="AJ25" s="127">
        <f>(C25+J25+Q25+X25+AE25)/5</f>
        <v>2.0799999999999996</v>
      </c>
      <c r="AK25" s="127"/>
      <c r="AM25" s="363"/>
      <c r="AN25" s="60"/>
      <c r="AO25" s="78"/>
      <c r="AP25" s="78"/>
      <c r="AQ25" s="78"/>
      <c r="AU25" s="369"/>
      <c r="AV25" s="112" t="s">
        <v>83</v>
      </c>
      <c r="AW25" s="365">
        <v>0.5</v>
      </c>
      <c r="AX25" s="365"/>
      <c r="AY25" s="366"/>
    </row>
    <row r="26" spans="1:51" s="40" customFormat="1" ht="18.75" customHeight="1">
      <c r="A26" s="382"/>
      <c r="B26" s="103" t="s">
        <v>82</v>
      </c>
      <c r="C26" s="365">
        <v>0.7</v>
      </c>
      <c r="D26" s="365"/>
      <c r="E26" s="366"/>
      <c r="F26" s="104"/>
      <c r="G26" s="105"/>
      <c r="H26" s="369"/>
      <c r="I26" s="103" t="s">
        <v>82</v>
      </c>
      <c r="J26" s="365">
        <v>0.6</v>
      </c>
      <c r="K26" s="365"/>
      <c r="L26" s="366"/>
      <c r="M26" s="106"/>
      <c r="N26" s="105"/>
      <c r="O26" s="369"/>
      <c r="P26" s="103" t="s">
        <v>82</v>
      </c>
      <c r="Q26" s="365">
        <v>0.5</v>
      </c>
      <c r="R26" s="365"/>
      <c r="S26" s="367"/>
      <c r="T26" s="106"/>
      <c r="U26" s="107"/>
      <c r="V26" s="382"/>
      <c r="W26" s="103" t="s">
        <v>82</v>
      </c>
      <c r="X26" s="365">
        <v>0.7</v>
      </c>
      <c r="Y26" s="365"/>
      <c r="Z26" s="366"/>
      <c r="AA26" s="108"/>
      <c r="AB26" s="105"/>
      <c r="AC26" s="369"/>
      <c r="AD26" s="103" t="s">
        <v>82</v>
      </c>
      <c r="AE26" s="365">
        <v>0.5</v>
      </c>
      <c r="AF26" s="365"/>
      <c r="AG26" s="366"/>
      <c r="AH26" s="109"/>
      <c r="AI26" s="110"/>
      <c r="AJ26" s="127">
        <f aca="true" t="shared" si="7" ref="AJ26:AJ31">(C26+J26+Q26+X26+AE26)/5</f>
        <v>0.6</v>
      </c>
      <c r="AK26" s="127"/>
      <c r="AM26" s="363"/>
      <c r="AN26" s="155"/>
      <c r="AO26" s="155"/>
      <c r="AP26" s="93"/>
      <c r="AQ26" s="97"/>
      <c r="AU26" s="369"/>
      <c r="AV26" s="103" t="s">
        <v>86</v>
      </c>
      <c r="AW26" s="365">
        <v>1</v>
      </c>
      <c r="AX26" s="365"/>
      <c r="AY26" s="366"/>
    </row>
    <row r="27" spans="1:51" s="40" customFormat="1" ht="18.75" customHeight="1">
      <c r="A27" s="382"/>
      <c r="B27" s="111" t="s">
        <v>85</v>
      </c>
      <c r="C27" s="365">
        <v>0.3</v>
      </c>
      <c r="D27" s="365"/>
      <c r="E27" s="366"/>
      <c r="F27" s="104"/>
      <c r="G27" s="105"/>
      <c r="H27" s="369"/>
      <c r="I27" s="111" t="s">
        <v>85</v>
      </c>
      <c r="J27" s="365">
        <v>0.5</v>
      </c>
      <c r="K27" s="365"/>
      <c r="L27" s="366"/>
      <c r="M27" s="106"/>
      <c r="N27" s="105"/>
      <c r="O27" s="369"/>
      <c r="P27" s="111" t="s">
        <v>85</v>
      </c>
      <c r="Q27" s="365">
        <v>0.5</v>
      </c>
      <c r="R27" s="365"/>
      <c r="S27" s="367"/>
      <c r="T27" s="106"/>
      <c r="U27" s="107"/>
      <c r="V27" s="382"/>
      <c r="W27" s="111" t="s">
        <v>85</v>
      </c>
      <c r="X27" s="365">
        <v>0.3</v>
      </c>
      <c r="Y27" s="365"/>
      <c r="Z27" s="366"/>
      <c r="AA27" s="108"/>
      <c r="AB27" s="105"/>
      <c r="AC27" s="369"/>
      <c r="AD27" s="111" t="s">
        <v>85</v>
      </c>
      <c r="AE27" s="365">
        <v>0.5</v>
      </c>
      <c r="AF27" s="365"/>
      <c r="AG27" s="366"/>
      <c r="AH27" s="109"/>
      <c r="AI27" s="110"/>
      <c r="AJ27" s="127">
        <f t="shared" si="7"/>
        <v>0.42000000000000004</v>
      </c>
      <c r="AK27" s="127"/>
      <c r="AM27" s="363"/>
      <c r="AN27" s="155"/>
      <c r="AO27" s="155"/>
      <c r="AP27" s="93"/>
      <c r="AQ27" s="97"/>
      <c r="AU27" s="369"/>
      <c r="AV27" s="103" t="s">
        <v>87</v>
      </c>
      <c r="AW27" s="365">
        <v>0.5</v>
      </c>
      <c r="AX27" s="365"/>
      <c r="AY27" s="366"/>
    </row>
    <row r="28" spans="1:51" s="40" customFormat="1" ht="18.75" customHeight="1" thickBot="1">
      <c r="A28" s="382"/>
      <c r="B28" s="112" t="s">
        <v>83</v>
      </c>
      <c r="C28" s="365">
        <v>0.5</v>
      </c>
      <c r="D28" s="365"/>
      <c r="E28" s="366"/>
      <c r="F28" s="104"/>
      <c r="G28" s="105"/>
      <c r="H28" s="369"/>
      <c r="I28" s="112" t="s">
        <v>83</v>
      </c>
      <c r="J28" s="365">
        <v>0.5</v>
      </c>
      <c r="K28" s="365"/>
      <c r="L28" s="366"/>
      <c r="M28" s="106"/>
      <c r="N28" s="105"/>
      <c r="O28" s="369"/>
      <c r="P28" s="112" t="s">
        <v>84</v>
      </c>
      <c r="Q28" s="365">
        <v>0.5</v>
      </c>
      <c r="R28" s="365"/>
      <c r="S28" s="367"/>
      <c r="T28" s="106"/>
      <c r="U28" s="107"/>
      <c r="V28" s="382"/>
      <c r="W28" s="112" t="s">
        <v>84</v>
      </c>
      <c r="X28" s="365">
        <v>0.5</v>
      </c>
      <c r="Y28" s="365"/>
      <c r="Z28" s="366"/>
      <c r="AA28" s="108"/>
      <c r="AB28" s="105"/>
      <c r="AC28" s="369"/>
      <c r="AD28" s="112" t="s">
        <v>83</v>
      </c>
      <c r="AE28" s="365">
        <v>0.5</v>
      </c>
      <c r="AF28" s="365"/>
      <c r="AG28" s="366"/>
      <c r="AH28" s="109"/>
      <c r="AI28" s="110"/>
      <c r="AJ28" s="127">
        <f t="shared" si="7"/>
        <v>0.5</v>
      </c>
      <c r="AK28" s="127"/>
      <c r="AM28" s="364"/>
      <c r="AN28" s="81"/>
      <c r="AO28" s="157"/>
      <c r="AP28" s="158"/>
      <c r="AQ28" s="159"/>
      <c r="AU28" s="370"/>
      <c r="AV28" s="114" t="s">
        <v>88</v>
      </c>
      <c r="AW28" s="379">
        <f>AW22*70+AW23*75+AW24*25+AW25*45+AW27*120+AW26*60</f>
        <v>346.5</v>
      </c>
      <c r="AX28" s="379"/>
      <c r="AY28" s="380"/>
    </row>
    <row r="29" spans="1:37" s="40" customFormat="1" ht="18.75" customHeight="1" thickBot="1">
      <c r="A29" s="382"/>
      <c r="B29" s="103" t="s">
        <v>86</v>
      </c>
      <c r="C29" s="365">
        <v>0</v>
      </c>
      <c r="D29" s="365"/>
      <c r="E29" s="366"/>
      <c r="F29" s="104"/>
      <c r="G29" s="105"/>
      <c r="H29" s="369"/>
      <c r="I29" s="103" t="s">
        <v>86</v>
      </c>
      <c r="J29" s="365">
        <v>1</v>
      </c>
      <c r="K29" s="365"/>
      <c r="L29" s="366"/>
      <c r="M29" s="106"/>
      <c r="N29" s="105"/>
      <c r="O29" s="369"/>
      <c r="P29" s="103" t="s">
        <v>86</v>
      </c>
      <c r="Q29" s="365">
        <v>1</v>
      </c>
      <c r="R29" s="365"/>
      <c r="S29" s="367"/>
      <c r="T29" s="106"/>
      <c r="U29" s="107"/>
      <c r="V29" s="382"/>
      <c r="W29" s="103" t="s">
        <v>86</v>
      </c>
      <c r="X29" s="365">
        <v>1</v>
      </c>
      <c r="Y29" s="365"/>
      <c r="Z29" s="366"/>
      <c r="AA29" s="108"/>
      <c r="AB29" s="105"/>
      <c r="AC29" s="369"/>
      <c r="AD29" s="103" t="s">
        <v>86</v>
      </c>
      <c r="AE29" s="365">
        <v>1</v>
      </c>
      <c r="AF29" s="365"/>
      <c r="AG29" s="366"/>
      <c r="AH29" s="109"/>
      <c r="AI29" s="110"/>
      <c r="AJ29" s="127">
        <f t="shared" si="7"/>
        <v>0.8</v>
      </c>
      <c r="AK29" s="127"/>
    </row>
    <row r="30" spans="1:45" s="40" customFormat="1" ht="18.75" customHeight="1">
      <c r="A30" s="382"/>
      <c r="B30" s="103" t="s">
        <v>87</v>
      </c>
      <c r="C30" s="365">
        <v>0.4</v>
      </c>
      <c r="D30" s="365"/>
      <c r="E30" s="366"/>
      <c r="F30" s="104"/>
      <c r="G30" s="105"/>
      <c r="H30" s="369"/>
      <c r="I30" s="103" t="s">
        <v>87</v>
      </c>
      <c r="J30" s="365">
        <v>0.6</v>
      </c>
      <c r="K30" s="365"/>
      <c r="L30" s="366"/>
      <c r="M30" s="113"/>
      <c r="N30" s="105"/>
      <c r="O30" s="369"/>
      <c r="P30" s="103" t="s">
        <v>87</v>
      </c>
      <c r="Q30" s="365">
        <v>0.4</v>
      </c>
      <c r="R30" s="365"/>
      <c r="S30" s="367"/>
      <c r="T30" s="106"/>
      <c r="U30" s="107"/>
      <c r="V30" s="382"/>
      <c r="W30" s="103" t="s">
        <v>87</v>
      </c>
      <c r="X30" s="365">
        <v>0.6</v>
      </c>
      <c r="Y30" s="365"/>
      <c r="Z30" s="366"/>
      <c r="AA30" s="108"/>
      <c r="AB30" s="105"/>
      <c r="AC30" s="369"/>
      <c r="AD30" s="103" t="s">
        <v>87</v>
      </c>
      <c r="AE30" s="365">
        <v>0.5</v>
      </c>
      <c r="AF30" s="365"/>
      <c r="AG30" s="366"/>
      <c r="AH30" s="109"/>
      <c r="AI30" s="110"/>
      <c r="AJ30" s="127">
        <f t="shared" si="7"/>
        <v>0.5</v>
      </c>
      <c r="AK30" s="127"/>
      <c r="AO30" s="381" t="s">
        <v>80</v>
      </c>
      <c r="AP30" s="101" t="s">
        <v>81</v>
      </c>
      <c r="AQ30" s="358">
        <v>2</v>
      </c>
      <c r="AR30" s="358"/>
      <c r="AS30" s="391"/>
    </row>
    <row r="31" spans="1:45" s="40" customFormat="1" ht="18.75" customHeight="1" thickBot="1">
      <c r="A31" s="383"/>
      <c r="B31" s="114" t="s">
        <v>88</v>
      </c>
      <c r="C31" s="379">
        <f>C25*70+C26*75+C27*25+C28*45+C30*120+C29*60</f>
        <v>270.5</v>
      </c>
      <c r="D31" s="379"/>
      <c r="E31" s="380"/>
      <c r="F31" s="115"/>
      <c r="G31" s="116"/>
      <c r="H31" s="370"/>
      <c r="I31" s="114" t="s">
        <v>88</v>
      </c>
      <c r="J31" s="379">
        <f>J25*70+J26*75+J27*25+J28*45+J30*120+J29*60</f>
        <v>352</v>
      </c>
      <c r="K31" s="379"/>
      <c r="L31" s="380"/>
      <c r="M31" s="117"/>
      <c r="N31" s="116"/>
      <c r="O31" s="370"/>
      <c r="P31" s="114" t="s">
        <v>88</v>
      </c>
      <c r="Q31" s="379">
        <f>Q25*70+Q26*75+Q27*25+Q28*45+Q30*120+Q29*60</f>
        <v>320.5</v>
      </c>
      <c r="R31" s="379"/>
      <c r="S31" s="384"/>
      <c r="T31" s="117"/>
      <c r="U31" s="118"/>
      <c r="V31" s="383"/>
      <c r="W31" s="114" t="s">
        <v>88</v>
      </c>
      <c r="X31" s="379">
        <f>X25*70+X26*75+X27*25+X28*45+X30*120+X29*60</f>
        <v>368.5</v>
      </c>
      <c r="Y31" s="379"/>
      <c r="Z31" s="380"/>
      <c r="AA31" s="119"/>
      <c r="AB31" s="116"/>
      <c r="AC31" s="370"/>
      <c r="AD31" s="114" t="s">
        <v>88</v>
      </c>
      <c r="AE31" s="379">
        <f>AE25*70+AE26*75+AE27*25+AE28*45+AE30*120+AE29*60</f>
        <v>346.5</v>
      </c>
      <c r="AF31" s="379"/>
      <c r="AG31" s="380"/>
      <c r="AH31" s="120"/>
      <c r="AI31" s="121"/>
      <c r="AJ31" s="127">
        <f t="shared" si="7"/>
        <v>331.6</v>
      </c>
      <c r="AK31" s="127"/>
      <c r="AO31" s="382"/>
      <c r="AP31" s="103" t="s">
        <v>82</v>
      </c>
      <c r="AQ31" s="365">
        <v>0.7</v>
      </c>
      <c r="AR31" s="365"/>
      <c r="AS31" s="366"/>
    </row>
    <row r="32" spans="1:45" s="50" customFormat="1" ht="18.75" customHeight="1">
      <c r="A32" s="82"/>
      <c r="B32" s="83"/>
      <c r="C32" s="83"/>
      <c r="D32" s="122"/>
      <c r="E32" s="122"/>
      <c r="F32" s="84"/>
      <c r="G32" s="83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2"/>
      <c r="AG32" s="122"/>
      <c r="AH32" s="84"/>
      <c r="AI32" s="83"/>
      <c r="AO32" s="382"/>
      <c r="AP32" s="111" t="s">
        <v>85</v>
      </c>
      <c r="AQ32" s="365">
        <v>0.3</v>
      </c>
      <c r="AR32" s="365"/>
      <c r="AS32" s="366"/>
    </row>
    <row r="33" spans="1:48" s="50" customFormat="1" ht="19.5" customHeight="1">
      <c r="A33" s="392" t="s">
        <v>51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123"/>
      <c r="AJ33" s="64"/>
      <c r="AK33" s="64"/>
      <c r="AL33" s="65"/>
      <c r="AM33" s="65"/>
      <c r="AN33" s="65"/>
      <c r="AO33" s="382"/>
      <c r="AP33" s="112" t="s">
        <v>83</v>
      </c>
      <c r="AQ33" s="365">
        <v>0.5</v>
      </c>
      <c r="AR33" s="365"/>
      <c r="AS33" s="366"/>
      <c r="AT33" s="65"/>
      <c r="AU33" s="65"/>
      <c r="AV33" s="65"/>
    </row>
    <row r="34" spans="1:48" s="50" customFormat="1" ht="22.5" customHeight="1">
      <c r="A34" s="385" t="s">
        <v>60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124"/>
      <c r="AJ34" s="66"/>
      <c r="AK34" s="66"/>
      <c r="AL34" s="65"/>
      <c r="AM34" s="65"/>
      <c r="AN34" s="65"/>
      <c r="AO34" s="382"/>
      <c r="AP34" s="103" t="s">
        <v>86</v>
      </c>
      <c r="AQ34" s="365">
        <v>0</v>
      </c>
      <c r="AR34" s="365"/>
      <c r="AS34" s="366"/>
      <c r="AT34" s="65"/>
      <c r="AU34" s="65"/>
      <c r="AV34" s="65"/>
    </row>
    <row r="35" spans="41:45" ht="22.5" customHeight="1">
      <c r="AO35" s="382"/>
      <c r="AP35" s="103" t="s">
        <v>87</v>
      </c>
      <c r="AQ35" s="365">
        <v>0.4</v>
      </c>
      <c r="AR35" s="365"/>
      <c r="AS35" s="366"/>
    </row>
    <row r="36" spans="41:45" ht="22.5" customHeight="1" thickBot="1">
      <c r="AO36" s="383"/>
      <c r="AP36" s="114" t="s">
        <v>88</v>
      </c>
      <c r="AQ36" s="379">
        <f>AQ30*70+AQ31*75+AQ32*25+AQ33*45+AQ35*120+AQ34*60</f>
        <v>270.5</v>
      </c>
      <c r="AR36" s="379"/>
      <c r="AS36" s="380"/>
    </row>
  </sheetData>
  <sheetProtection selectLockedCells="1" selectUnlockedCells="1"/>
  <mergeCells count="107">
    <mergeCell ref="AW27:AY27"/>
    <mergeCell ref="AW28:AY28"/>
    <mergeCell ref="P22:S22"/>
    <mergeCell ref="AQ36:AS36"/>
    <mergeCell ref="AU3:AU12"/>
    <mergeCell ref="AU13:AY13"/>
    <mergeCell ref="AU14:AU21"/>
    <mergeCell ref="AU22:AU28"/>
    <mergeCell ref="AW22:AY22"/>
    <mergeCell ref="AW23:AY23"/>
    <mergeCell ref="AW24:AY24"/>
    <mergeCell ref="AW25:AY25"/>
    <mergeCell ref="AW26:AY26"/>
    <mergeCell ref="A1:L1"/>
    <mergeCell ref="AN5:AN14"/>
    <mergeCell ref="AN16:AN23"/>
    <mergeCell ref="AC5:AG5"/>
    <mergeCell ref="B4:E4"/>
    <mergeCell ref="I4:L4"/>
    <mergeCell ref="AD2:AG2"/>
    <mergeCell ref="AO30:AO36"/>
    <mergeCell ref="AQ30:AS30"/>
    <mergeCell ref="AQ31:AS31"/>
    <mergeCell ref="AQ32:AS32"/>
    <mergeCell ref="AQ33:AS33"/>
    <mergeCell ref="AQ34:AS34"/>
    <mergeCell ref="AQ35:AS35"/>
    <mergeCell ref="W2:Z2"/>
    <mergeCell ref="C25:E25"/>
    <mergeCell ref="F25:G25"/>
    <mergeCell ref="H25:H31"/>
    <mergeCell ref="X25:Z25"/>
    <mergeCell ref="H17:H24"/>
    <mergeCell ref="V2:V4"/>
    <mergeCell ref="P4:S4"/>
    <mergeCell ref="O17:O24"/>
    <mergeCell ref="H5:L5"/>
    <mergeCell ref="P1:AD1"/>
    <mergeCell ref="H6:H15"/>
    <mergeCell ref="O6:O15"/>
    <mergeCell ref="V6:V15"/>
    <mergeCell ref="AD4:AG4"/>
    <mergeCell ref="O5:S5"/>
    <mergeCell ref="W4:Z4"/>
    <mergeCell ref="V5:Z5"/>
    <mergeCell ref="H2:H4"/>
    <mergeCell ref="P2:S2"/>
    <mergeCell ref="A33:AH33"/>
    <mergeCell ref="A2:A4"/>
    <mergeCell ref="B2:E2"/>
    <mergeCell ref="J25:L25"/>
    <mergeCell ref="M25:N25"/>
    <mergeCell ref="AC2:AC4"/>
    <mergeCell ref="I2:L2"/>
    <mergeCell ref="O2:O4"/>
    <mergeCell ref="H16:L16"/>
    <mergeCell ref="AC17:AC24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J26:L26"/>
    <mergeCell ref="Q26:S26"/>
    <mergeCell ref="X26:Z26"/>
    <mergeCell ref="C26:E26"/>
    <mergeCell ref="V25:V31"/>
    <mergeCell ref="J27:L27"/>
    <mergeCell ref="C31:E31"/>
    <mergeCell ref="J31:L31"/>
    <mergeCell ref="Q31:S31"/>
    <mergeCell ref="X31:Z31"/>
    <mergeCell ref="AE31:AG31"/>
    <mergeCell ref="C28:E28"/>
    <mergeCell ref="J28:L28"/>
    <mergeCell ref="Q28:S28"/>
    <mergeCell ref="J30:L30"/>
    <mergeCell ref="Q30:S30"/>
    <mergeCell ref="X30:Z30"/>
    <mergeCell ref="AE30:AG30"/>
    <mergeCell ref="X28:Z28"/>
    <mergeCell ref="AE28:AG28"/>
    <mergeCell ref="AA25:AB25"/>
    <mergeCell ref="Q27:S27"/>
    <mergeCell ref="A6:A15"/>
    <mergeCell ref="A16:E16"/>
    <mergeCell ref="AC6:AC15"/>
    <mergeCell ref="AC16:AG16"/>
    <mergeCell ref="C27:E27"/>
    <mergeCell ref="X27:Z27"/>
    <mergeCell ref="AE27:AG27"/>
    <mergeCell ref="AE26:AG26"/>
    <mergeCell ref="Q25:S25"/>
    <mergeCell ref="T25:U25"/>
    <mergeCell ref="AM21:AM28"/>
    <mergeCell ref="J29:L29"/>
    <mergeCell ref="C29:E29"/>
    <mergeCell ref="Q29:S29"/>
    <mergeCell ref="X29:Z29"/>
    <mergeCell ref="AE29:AG29"/>
    <mergeCell ref="AC25:AC31"/>
    <mergeCell ref="C30:E30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34"/>
  <sheetViews>
    <sheetView view="pageBreakPreview" zoomScale="90" zoomScaleNormal="75" zoomScaleSheetLayoutView="90" zoomScalePageLayoutView="0" workbookViewId="0" topLeftCell="A1">
      <selection activeCell="AD14" sqref="AD14"/>
    </sheetView>
  </sheetViews>
  <sheetFormatPr defaultColWidth="6.125" defaultRowHeight="22.5" customHeight="1"/>
  <cols>
    <col min="1" max="1" width="3.75390625" style="67" customWidth="1"/>
    <col min="2" max="2" width="18.375" style="68" customWidth="1"/>
    <col min="3" max="3" width="6.125" style="68" customWidth="1"/>
    <col min="4" max="5" width="5.625" style="68" customWidth="1"/>
    <col min="6" max="6" width="6.125" style="69" customWidth="1"/>
    <col min="7" max="7" width="6.125" style="70" customWidth="1"/>
    <col min="8" max="8" width="3.625" style="67" customWidth="1"/>
    <col min="9" max="9" width="21.25390625" style="68" customWidth="1"/>
    <col min="10" max="10" width="6.125" style="68" customWidth="1"/>
    <col min="11" max="12" width="5.625" style="68" customWidth="1"/>
    <col min="13" max="13" width="6.125" style="69" customWidth="1"/>
    <col min="14" max="14" width="6.125" style="70" customWidth="1"/>
    <col min="15" max="15" width="3.875" style="67" customWidth="1"/>
    <col min="16" max="16" width="16.375" style="68" customWidth="1"/>
    <col min="17" max="17" width="6.125" style="68" hidden="1" customWidth="1"/>
    <col min="18" max="19" width="5.625" style="68" customWidth="1"/>
    <col min="20" max="20" width="6.125" style="69" customWidth="1"/>
    <col min="21" max="21" width="6.125" style="70" customWidth="1"/>
    <col min="22" max="22" width="3.625" style="71" customWidth="1"/>
    <col min="23" max="23" width="16.125" style="68" customWidth="1"/>
    <col min="24" max="24" width="6.125" style="68" customWidth="1"/>
    <col min="25" max="26" width="5.625" style="68" customWidth="1"/>
    <col min="27" max="27" width="6.125" style="69" customWidth="1"/>
    <col min="28" max="28" width="6.125" style="70" customWidth="1"/>
    <col min="29" max="29" width="4.125" style="67" customWidth="1"/>
    <col min="30" max="30" width="16.125" style="68" customWidth="1"/>
    <col min="31" max="31" width="6.125" style="68" customWidth="1"/>
    <col min="32" max="33" width="5.625" style="68" customWidth="1"/>
    <col min="34" max="34" width="6.125" style="72" customWidth="1"/>
    <col min="35" max="35" width="6.125" style="70" customWidth="1"/>
    <col min="36" max="36" width="10.375" style="73" customWidth="1"/>
    <col min="37" max="45" width="6.125" style="73" customWidth="1"/>
    <col min="46" max="47" width="6.25390625" style="73" bestFit="1" customWidth="1"/>
    <col min="48" max="48" width="6.125" style="73" customWidth="1"/>
    <col min="49" max="49" width="6.25390625" style="73" bestFit="1" customWidth="1"/>
    <col min="50" max="50" width="10.875" style="73" bestFit="1" customWidth="1"/>
    <col min="51" max="16384" width="6.125" style="73" customWidth="1"/>
  </cols>
  <sheetData>
    <row r="1" spans="1:35" s="92" customFormat="1" ht="30" customHeight="1">
      <c r="A1" s="408" t="str">
        <f>'第一周'!A1</f>
        <v>僑愛國民小學附幼111學年度下學期第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215"/>
      <c r="N1" s="216"/>
      <c r="O1" s="217">
        <f>'第一周'!O1+1</f>
        <v>13</v>
      </c>
      <c r="P1" s="397" t="s">
        <v>203</v>
      </c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91">
        <v>72</v>
      </c>
      <c r="AF1" s="91">
        <v>72</v>
      </c>
      <c r="AG1" s="91"/>
      <c r="AH1" s="91"/>
      <c r="AI1" s="91"/>
    </row>
    <row r="2" spans="1:35" s="40" customFormat="1" ht="18.75" customHeight="1">
      <c r="A2" s="404" t="s">
        <v>24</v>
      </c>
      <c r="B2" s="435">
        <f>'第一周'!B2+7</f>
        <v>45054</v>
      </c>
      <c r="C2" s="435"/>
      <c r="D2" s="435"/>
      <c r="E2" s="435"/>
      <c r="F2" s="30"/>
      <c r="G2" s="31"/>
      <c r="H2" s="404" t="s">
        <v>24</v>
      </c>
      <c r="I2" s="396">
        <f>B2+1</f>
        <v>45055</v>
      </c>
      <c r="J2" s="396"/>
      <c r="K2" s="396"/>
      <c r="L2" s="396"/>
      <c r="M2" s="32"/>
      <c r="N2" s="33"/>
      <c r="O2" s="395" t="s">
        <v>24</v>
      </c>
      <c r="P2" s="405">
        <f>I2+1</f>
        <v>45056</v>
      </c>
      <c r="Q2" s="405"/>
      <c r="R2" s="405"/>
      <c r="S2" s="405"/>
      <c r="T2" s="34"/>
      <c r="U2" s="35"/>
      <c r="V2" s="395" t="s">
        <v>24</v>
      </c>
      <c r="W2" s="406">
        <f>P2+1</f>
        <v>45057</v>
      </c>
      <c r="X2" s="406"/>
      <c r="Y2" s="406"/>
      <c r="Z2" s="406"/>
      <c r="AA2" s="36"/>
      <c r="AB2" s="37"/>
      <c r="AC2" s="395" t="s">
        <v>24</v>
      </c>
      <c r="AD2" s="410">
        <f>W2+1</f>
        <v>45058</v>
      </c>
      <c r="AE2" s="410"/>
      <c r="AF2" s="410"/>
      <c r="AG2" s="433"/>
      <c r="AH2" s="173"/>
      <c r="AI2" s="39"/>
    </row>
    <row r="3" spans="1:55" s="40" customFormat="1" ht="18.75" customHeight="1">
      <c r="A3" s="404"/>
      <c r="B3" s="41" t="s">
        <v>25</v>
      </c>
      <c r="C3" s="41" t="s">
        <v>26</v>
      </c>
      <c r="D3" s="42" t="s">
        <v>27</v>
      </c>
      <c r="E3" s="42" t="s">
        <v>28</v>
      </c>
      <c r="F3" s="43" t="s">
        <v>29</v>
      </c>
      <c r="G3" s="41" t="s">
        <v>30</v>
      </c>
      <c r="H3" s="40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395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395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395"/>
      <c r="AD3" s="41" t="s">
        <v>25</v>
      </c>
      <c r="AE3" s="41" t="s">
        <v>26</v>
      </c>
      <c r="AF3" s="42" t="s">
        <v>27</v>
      </c>
      <c r="AG3" s="174" t="s">
        <v>28</v>
      </c>
      <c r="AH3" s="54" t="s">
        <v>29</v>
      </c>
      <c r="AI3" s="44" t="s">
        <v>30</v>
      </c>
      <c r="AY3" s="372" t="s">
        <v>240</v>
      </c>
      <c r="AZ3" s="144" t="s">
        <v>64</v>
      </c>
      <c r="BA3" s="144">
        <v>1</v>
      </c>
      <c r="BB3" s="75">
        <f>ROUND($AF$1*BA3/20,0)</f>
        <v>4</v>
      </c>
      <c r="BC3" s="78" t="s">
        <v>65</v>
      </c>
    </row>
    <row r="4" spans="1:55" s="50" customFormat="1" ht="18.75" customHeight="1" hidden="1">
      <c r="A4" s="404"/>
      <c r="B4" s="403" t="s">
        <v>31</v>
      </c>
      <c r="C4" s="403"/>
      <c r="D4" s="403"/>
      <c r="E4" s="403"/>
      <c r="F4" s="45"/>
      <c r="G4" s="46"/>
      <c r="H4" s="404"/>
      <c r="I4" s="403" t="s">
        <v>32</v>
      </c>
      <c r="J4" s="403"/>
      <c r="K4" s="403"/>
      <c r="L4" s="403"/>
      <c r="M4" s="45"/>
      <c r="N4" s="47"/>
      <c r="O4" s="395"/>
      <c r="P4" s="403" t="s">
        <v>33</v>
      </c>
      <c r="Q4" s="403"/>
      <c r="R4" s="403"/>
      <c r="S4" s="403"/>
      <c r="T4" s="43"/>
      <c r="U4" s="48"/>
      <c r="V4" s="395"/>
      <c r="W4" s="403" t="s">
        <v>34</v>
      </c>
      <c r="X4" s="403"/>
      <c r="Y4" s="403"/>
      <c r="Z4" s="403"/>
      <c r="AA4" s="45"/>
      <c r="AB4" s="47"/>
      <c r="AC4" s="395"/>
      <c r="AD4" s="401" t="s">
        <v>35</v>
      </c>
      <c r="AE4" s="401"/>
      <c r="AF4" s="401"/>
      <c r="AG4" s="434"/>
      <c r="AH4" s="45"/>
      <c r="AI4" s="47"/>
      <c r="AY4" s="373"/>
      <c r="AZ4" s="76" t="s">
        <v>183</v>
      </c>
      <c r="BA4" s="55">
        <v>10</v>
      </c>
      <c r="BB4" s="75" t="s">
        <v>21</v>
      </c>
      <c r="BC4" s="75" t="s">
        <v>0</v>
      </c>
    </row>
    <row r="5" spans="1:55" s="50" customFormat="1" ht="18.75" customHeight="1">
      <c r="A5" s="386" t="s">
        <v>36</v>
      </c>
      <c r="B5" s="378"/>
      <c r="C5" s="378"/>
      <c r="D5" s="378"/>
      <c r="E5" s="378"/>
      <c r="F5" s="87"/>
      <c r="G5" s="88"/>
      <c r="H5" s="386" t="s">
        <v>36</v>
      </c>
      <c r="I5" s="378"/>
      <c r="J5" s="378"/>
      <c r="K5" s="378"/>
      <c r="L5" s="378"/>
      <c r="M5" s="87"/>
      <c r="N5" s="89"/>
      <c r="O5" s="402" t="s">
        <v>36</v>
      </c>
      <c r="P5" s="378"/>
      <c r="Q5" s="378"/>
      <c r="R5" s="378"/>
      <c r="S5" s="378"/>
      <c r="T5" s="87"/>
      <c r="U5" s="89"/>
      <c r="V5" s="402" t="s">
        <v>36</v>
      </c>
      <c r="W5" s="378"/>
      <c r="X5" s="378"/>
      <c r="Y5" s="378"/>
      <c r="Z5" s="378"/>
      <c r="AA5" s="87"/>
      <c r="AB5" s="89"/>
      <c r="AC5" s="402" t="s">
        <v>36</v>
      </c>
      <c r="AD5" s="378"/>
      <c r="AE5" s="378"/>
      <c r="AF5" s="378"/>
      <c r="AG5" s="436"/>
      <c r="AH5" s="45"/>
      <c r="AI5" s="47"/>
      <c r="AM5" s="398" t="s">
        <v>181</v>
      </c>
      <c r="AN5" s="53" t="s">
        <v>189</v>
      </c>
      <c r="AO5" s="53">
        <v>18</v>
      </c>
      <c r="AP5" s="75">
        <f>ROUND($AF$1*AO5/250,0)</f>
        <v>5</v>
      </c>
      <c r="AQ5" s="75" t="s">
        <v>20</v>
      </c>
      <c r="AY5" s="373"/>
      <c r="AZ5" s="22" t="s">
        <v>37</v>
      </c>
      <c r="BA5" s="56">
        <v>20</v>
      </c>
      <c r="BB5" s="75">
        <f>ROUND($AF$1*BA5/1000,1)</f>
        <v>1.4</v>
      </c>
      <c r="BC5" s="75" t="s">
        <v>0</v>
      </c>
    </row>
    <row r="6" spans="1:55" s="50" customFormat="1" ht="18.75" customHeight="1">
      <c r="A6" s="424" t="s">
        <v>275</v>
      </c>
      <c r="B6" s="340" t="s">
        <v>272</v>
      </c>
      <c r="C6" s="340">
        <v>2</v>
      </c>
      <c r="D6" s="256">
        <f>ROUND($AE$1*C6,0)</f>
        <v>144</v>
      </c>
      <c r="E6" s="150" t="s">
        <v>271</v>
      </c>
      <c r="F6" s="51"/>
      <c r="G6" s="52">
        <f aca="true" t="shared" si="0" ref="G6:G13">D6*F6</f>
        <v>0</v>
      </c>
      <c r="H6" s="398" t="s">
        <v>141</v>
      </c>
      <c r="I6" s="22" t="s">
        <v>199</v>
      </c>
      <c r="J6" s="58">
        <v>70</v>
      </c>
      <c r="K6" s="75">
        <f>ROUND($AF$1*J6/1000,1)</f>
        <v>5</v>
      </c>
      <c r="L6" s="74" t="s">
        <v>0</v>
      </c>
      <c r="M6" s="51"/>
      <c r="N6" s="52">
        <f aca="true" t="shared" si="1" ref="N6:N12">K6*M6</f>
        <v>0</v>
      </c>
      <c r="O6" s="398" t="s">
        <v>174</v>
      </c>
      <c r="P6" s="22" t="s">
        <v>37</v>
      </c>
      <c r="Q6" s="22">
        <v>8</v>
      </c>
      <c r="R6" s="75">
        <f>ROUND($AF$1*Q6/1000,1)</f>
        <v>0.6</v>
      </c>
      <c r="S6" s="74" t="s">
        <v>0</v>
      </c>
      <c r="T6" s="51"/>
      <c r="U6" s="52">
        <f aca="true" t="shared" si="2" ref="U6:U12">R6*T6</f>
        <v>0</v>
      </c>
      <c r="V6" s="398" t="s">
        <v>181</v>
      </c>
      <c r="W6" s="53" t="s">
        <v>189</v>
      </c>
      <c r="X6" s="53">
        <v>12</v>
      </c>
      <c r="Y6" s="75">
        <f>ROUND($AF$1*X6/250,0)</f>
        <v>3</v>
      </c>
      <c r="Z6" s="75" t="s">
        <v>20</v>
      </c>
      <c r="AA6" s="51"/>
      <c r="AB6" s="52">
        <f aca="true" t="shared" si="3" ref="AB6:AB12">Y6*AA6</f>
        <v>0</v>
      </c>
      <c r="AC6" s="375" t="s">
        <v>182</v>
      </c>
      <c r="AD6" s="172" t="s">
        <v>190</v>
      </c>
      <c r="AE6" s="184">
        <v>100</v>
      </c>
      <c r="AF6" s="75">
        <f>ROUND($AF$1*AE6/1200,0)</f>
        <v>6</v>
      </c>
      <c r="AG6" s="74" t="s">
        <v>65</v>
      </c>
      <c r="AH6" s="51"/>
      <c r="AI6" s="52">
        <f aca="true" t="shared" si="4" ref="AI6:AI11">AF6*AH6</f>
        <v>0</v>
      </c>
      <c r="AM6" s="399"/>
      <c r="AN6" s="53" t="s">
        <v>1</v>
      </c>
      <c r="AO6" s="53">
        <v>25</v>
      </c>
      <c r="AP6" s="75">
        <f>ROUND($AF$1*AO6/1000,1)</f>
        <v>1.8</v>
      </c>
      <c r="AQ6" s="75" t="s">
        <v>0</v>
      </c>
      <c r="AY6" s="373"/>
      <c r="AZ6" s="56"/>
      <c r="BA6" s="56"/>
      <c r="BB6" s="93"/>
      <c r="BC6" s="93"/>
    </row>
    <row r="7" spans="1:55" s="50" customFormat="1" ht="18.75" customHeight="1">
      <c r="A7" s="425"/>
      <c r="B7" s="341" t="s">
        <v>273</v>
      </c>
      <c r="C7" s="341">
        <v>1</v>
      </c>
      <c r="D7" s="256">
        <f>ROUND($AE$1*C7,1)</f>
        <v>72</v>
      </c>
      <c r="E7" s="342" t="s">
        <v>75</v>
      </c>
      <c r="F7" s="51"/>
      <c r="G7" s="52"/>
      <c r="H7" s="399"/>
      <c r="I7" s="22" t="s">
        <v>142</v>
      </c>
      <c r="J7" s="22">
        <v>32</v>
      </c>
      <c r="K7" s="75" t="s">
        <v>21</v>
      </c>
      <c r="L7" s="74" t="s">
        <v>0</v>
      </c>
      <c r="M7" s="51"/>
      <c r="N7" s="52"/>
      <c r="O7" s="399"/>
      <c r="P7" s="172" t="s">
        <v>16</v>
      </c>
      <c r="Q7" s="22">
        <v>12</v>
      </c>
      <c r="R7" s="75">
        <f>ROUND($AF$1*Q7/300,0)</f>
        <v>3</v>
      </c>
      <c r="S7" s="74" t="s">
        <v>19</v>
      </c>
      <c r="T7" s="51"/>
      <c r="U7" s="52">
        <f t="shared" si="2"/>
        <v>0</v>
      </c>
      <c r="V7" s="399"/>
      <c r="W7" s="53" t="s">
        <v>1</v>
      </c>
      <c r="X7" s="53">
        <v>25</v>
      </c>
      <c r="Y7" s="75">
        <f>ROUND($AF$1*X7/1000,1)</f>
        <v>1.8</v>
      </c>
      <c r="Z7" s="75" t="s">
        <v>0</v>
      </c>
      <c r="AA7" s="51"/>
      <c r="AB7" s="52">
        <f t="shared" si="3"/>
        <v>0</v>
      </c>
      <c r="AC7" s="376"/>
      <c r="AD7" s="22" t="s">
        <v>186</v>
      </c>
      <c r="AE7" s="184">
        <v>20</v>
      </c>
      <c r="AF7" s="75">
        <f>ROUND($AF$1*AE7/600,0)</f>
        <v>2</v>
      </c>
      <c r="AG7" s="74" t="s">
        <v>22</v>
      </c>
      <c r="AH7" s="51"/>
      <c r="AI7" s="52">
        <f t="shared" si="4"/>
        <v>0</v>
      </c>
      <c r="AM7" s="399"/>
      <c r="AN7" s="53" t="s">
        <v>62</v>
      </c>
      <c r="AO7" s="53">
        <v>8</v>
      </c>
      <c r="AP7" s="75">
        <f>ROUND($AF$1*AO7/1000,1)</f>
        <v>0.6</v>
      </c>
      <c r="AQ7" s="75" t="s">
        <v>0</v>
      </c>
      <c r="AY7" s="373"/>
      <c r="AZ7" s="56"/>
      <c r="BA7" s="56"/>
      <c r="BB7" s="147"/>
      <c r="BC7" s="93"/>
    </row>
    <row r="8" spans="1:55" s="50" customFormat="1" ht="18.75" customHeight="1">
      <c r="A8" s="425"/>
      <c r="B8" s="253" t="s">
        <v>276</v>
      </c>
      <c r="C8" s="257"/>
      <c r="D8" s="252"/>
      <c r="E8" s="258"/>
      <c r="F8" s="51"/>
      <c r="G8" s="52">
        <f t="shared" si="0"/>
        <v>0</v>
      </c>
      <c r="H8" s="399"/>
      <c r="I8" s="22" t="s">
        <v>143</v>
      </c>
      <c r="J8" s="22">
        <v>6</v>
      </c>
      <c r="K8" s="75">
        <f>ROUND($AF$1*J8/1000,1)</f>
        <v>0.4</v>
      </c>
      <c r="L8" s="74" t="s">
        <v>0</v>
      </c>
      <c r="M8" s="51"/>
      <c r="N8" s="52">
        <f t="shared" si="1"/>
        <v>0</v>
      </c>
      <c r="O8" s="399"/>
      <c r="P8" s="201" t="s">
        <v>186</v>
      </c>
      <c r="Q8" s="201">
        <v>15</v>
      </c>
      <c r="R8" s="75">
        <f>ROUND($AF$1*Q8/600,0)</f>
        <v>2</v>
      </c>
      <c r="S8" s="203" t="s">
        <v>22</v>
      </c>
      <c r="T8" s="51"/>
      <c r="U8" s="52">
        <f t="shared" si="2"/>
        <v>0</v>
      </c>
      <c r="V8" s="399"/>
      <c r="W8" s="53" t="s">
        <v>62</v>
      </c>
      <c r="X8" s="53">
        <v>8</v>
      </c>
      <c r="Y8" s="75">
        <f>ROUND($AF$1*X8/1000,1)</f>
        <v>0.6</v>
      </c>
      <c r="Z8" s="75" t="s">
        <v>0</v>
      </c>
      <c r="AA8" s="51"/>
      <c r="AB8" s="52">
        <f t="shared" si="3"/>
        <v>0</v>
      </c>
      <c r="AC8" s="376"/>
      <c r="AD8" s="22" t="s">
        <v>56</v>
      </c>
      <c r="AE8" s="23">
        <v>5</v>
      </c>
      <c r="AF8" s="75">
        <f>ROUND($AF$1*AE8/1000,1)</f>
        <v>0.4</v>
      </c>
      <c r="AG8" s="74" t="s">
        <v>2</v>
      </c>
      <c r="AH8" s="51"/>
      <c r="AI8" s="52">
        <f t="shared" si="4"/>
        <v>0</v>
      </c>
      <c r="AM8" s="399"/>
      <c r="AN8" s="22" t="s">
        <v>129</v>
      </c>
      <c r="AO8" s="53">
        <v>4</v>
      </c>
      <c r="AP8" s="75">
        <f>ROUND($AF$1*AO8/1000,1)</f>
        <v>0.3</v>
      </c>
      <c r="AQ8" s="75" t="s">
        <v>0</v>
      </c>
      <c r="AR8" s="375" t="s">
        <v>52</v>
      </c>
      <c r="AS8" s="22" t="s">
        <v>53</v>
      </c>
      <c r="AT8" s="23">
        <v>1.5</v>
      </c>
      <c r="AU8" s="75">
        <v>90</v>
      </c>
      <c r="AV8" s="24" t="s">
        <v>15</v>
      </c>
      <c r="AW8" s="51">
        <v>65</v>
      </c>
      <c r="AX8" s="52"/>
      <c r="AY8" s="373"/>
      <c r="AZ8" s="56"/>
      <c r="BA8" s="56"/>
      <c r="BB8" s="147"/>
      <c r="BC8" s="93"/>
    </row>
    <row r="9" spans="1:55" s="50" customFormat="1" ht="18.75" customHeight="1">
      <c r="A9" s="425"/>
      <c r="B9" s="253"/>
      <c r="C9" s="257"/>
      <c r="D9" s="252"/>
      <c r="E9" s="258"/>
      <c r="F9" s="51"/>
      <c r="G9" s="52">
        <f t="shared" si="0"/>
        <v>0</v>
      </c>
      <c r="H9" s="399"/>
      <c r="I9" s="22" t="s">
        <v>144</v>
      </c>
      <c r="J9" s="22">
        <v>32</v>
      </c>
      <c r="K9" s="75">
        <f>ROUND($AF$1*J9/1000,0)</f>
        <v>2</v>
      </c>
      <c r="L9" s="74" t="s">
        <v>0</v>
      </c>
      <c r="M9" s="51"/>
      <c r="N9" s="52"/>
      <c r="O9" s="399"/>
      <c r="P9" s="22" t="s">
        <v>95</v>
      </c>
      <c r="Q9" s="22">
        <v>15</v>
      </c>
      <c r="R9" s="75" t="s">
        <v>21</v>
      </c>
      <c r="S9" s="74" t="s">
        <v>0</v>
      </c>
      <c r="T9" s="51"/>
      <c r="U9" s="52"/>
      <c r="V9" s="399"/>
      <c r="W9" s="22" t="s">
        <v>129</v>
      </c>
      <c r="X9" s="53">
        <v>4</v>
      </c>
      <c r="Y9" s="75">
        <f>ROUND($AF$1*X9/1000,1)</f>
        <v>0.3</v>
      </c>
      <c r="Z9" s="75" t="s">
        <v>0</v>
      </c>
      <c r="AA9" s="51"/>
      <c r="AB9" s="52">
        <f t="shared" si="3"/>
        <v>0</v>
      </c>
      <c r="AC9" s="376"/>
      <c r="AD9" s="22" t="s">
        <v>62</v>
      </c>
      <c r="AE9" s="23">
        <v>5</v>
      </c>
      <c r="AF9" s="75">
        <f>ROUND($AF$1*AE9/1000,1)</f>
        <v>0.4</v>
      </c>
      <c r="AG9" s="74" t="s">
        <v>2</v>
      </c>
      <c r="AH9" s="51"/>
      <c r="AI9" s="52">
        <f t="shared" si="4"/>
        <v>0</v>
      </c>
      <c r="AM9" s="399"/>
      <c r="AN9" s="53" t="s">
        <v>130</v>
      </c>
      <c r="AO9" s="53">
        <v>10</v>
      </c>
      <c r="AP9" s="75" t="s">
        <v>21</v>
      </c>
      <c r="AQ9" s="75" t="s">
        <v>0</v>
      </c>
      <c r="AR9" s="376"/>
      <c r="AS9" s="22"/>
      <c r="AT9" s="23"/>
      <c r="AU9" s="25"/>
      <c r="AV9" s="26"/>
      <c r="AW9" s="51">
        <v>45</v>
      </c>
      <c r="AX9" s="52">
        <f>AU9*AW9</f>
        <v>0</v>
      </c>
      <c r="AY9" s="373"/>
      <c r="AZ9" s="76" t="s">
        <v>97</v>
      </c>
      <c r="BA9" s="52">
        <v>150</v>
      </c>
      <c r="BB9" s="75">
        <f>ROUND($AF$1*BA9/2000,0)</f>
        <v>5</v>
      </c>
      <c r="BC9" s="75" t="s">
        <v>48</v>
      </c>
    </row>
    <row r="10" spans="1:55" s="50" customFormat="1" ht="18.75" customHeight="1">
      <c r="A10" s="425"/>
      <c r="B10" s="20"/>
      <c r="C10" s="20"/>
      <c r="D10" s="20"/>
      <c r="E10" s="20"/>
      <c r="F10" s="51"/>
      <c r="G10" s="52">
        <f t="shared" si="0"/>
        <v>0</v>
      </c>
      <c r="H10" s="399"/>
      <c r="I10" s="22" t="s">
        <v>37</v>
      </c>
      <c r="J10" s="22">
        <v>18</v>
      </c>
      <c r="K10" s="75">
        <f>ROUND($AF$1*J10/1000,1)</f>
        <v>1.3</v>
      </c>
      <c r="L10" s="74" t="s">
        <v>0</v>
      </c>
      <c r="M10" s="51"/>
      <c r="N10" s="52"/>
      <c r="O10" s="399"/>
      <c r="P10" s="22" t="s">
        <v>92</v>
      </c>
      <c r="Q10" s="22">
        <v>1.5</v>
      </c>
      <c r="R10" s="75" t="s">
        <v>21</v>
      </c>
      <c r="S10" s="74" t="s">
        <v>0</v>
      </c>
      <c r="T10" s="51"/>
      <c r="U10" s="52"/>
      <c r="V10" s="399"/>
      <c r="W10" s="53" t="s">
        <v>130</v>
      </c>
      <c r="X10" s="53">
        <v>10</v>
      </c>
      <c r="Y10" s="75" t="s">
        <v>21</v>
      </c>
      <c r="Z10" s="75" t="s">
        <v>0</v>
      </c>
      <c r="AA10" s="51"/>
      <c r="AB10" s="52"/>
      <c r="AC10" s="376"/>
      <c r="AD10" s="430"/>
      <c r="AE10" s="431"/>
      <c r="AF10" s="431"/>
      <c r="AG10" s="432"/>
      <c r="AH10" s="51"/>
      <c r="AI10" s="52">
        <f t="shared" si="4"/>
        <v>0</v>
      </c>
      <c r="AM10" s="399"/>
      <c r="AN10" s="53" t="s">
        <v>23</v>
      </c>
      <c r="AO10" s="53">
        <v>8</v>
      </c>
      <c r="AP10" s="75">
        <f>ROUND($AF$1*AO10/1000,1)</f>
        <v>0.6</v>
      </c>
      <c r="AQ10" s="75" t="s">
        <v>0</v>
      </c>
      <c r="AR10" s="376"/>
      <c r="AS10" s="22" t="s">
        <v>38</v>
      </c>
      <c r="AT10" s="23">
        <v>20</v>
      </c>
      <c r="AU10" s="75">
        <v>40</v>
      </c>
      <c r="AV10" s="24" t="s">
        <v>54</v>
      </c>
      <c r="AW10" s="51"/>
      <c r="AX10" s="52">
        <f>AU10*AW10</f>
        <v>0</v>
      </c>
      <c r="AY10" s="373"/>
      <c r="AZ10" s="56"/>
      <c r="BA10" s="56"/>
      <c r="BB10" s="93"/>
      <c r="BC10" s="93"/>
    </row>
    <row r="11" spans="1:55" s="50" customFormat="1" ht="18.75" customHeight="1">
      <c r="A11" s="425"/>
      <c r="B11" s="56" t="s">
        <v>274</v>
      </c>
      <c r="C11" s="343">
        <v>128</v>
      </c>
      <c r="D11" s="252">
        <f>ROUND($AE$1*C11/1000,0)</f>
        <v>9</v>
      </c>
      <c r="E11" s="252" t="s">
        <v>19</v>
      </c>
      <c r="F11" s="51"/>
      <c r="G11" s="52">
        <f t="shared" si="0"/>
        <v>0</v>
      </c>
      <c r="H11" s="399"/>
      <c r="I11" s="59" t="s">
        <v>145</v>
      </c>
      <c r="J11" s="22">
        <v>5</v>
      </c>
      <c r="K11" s="75">
        <v>1</v>
      </c>
      <c r="L11" s="74" t="s">
        <v>19</v>
      </c>
      <c r="M11" s="51"/>
      <c r="N11" s="52"/>
      <c r="O11" s="399"/>
      <c r="P11" s="22" t="s">
        <v>175</v>
      </c>
      <c r="Q11" s="22">
        <v>10</v>
      </c>
      <c r="R11" s="75">
        <f>ROUND($AF$1*Q11/1000,1)</f>
        <v>0.7</v>
      </c>
      <c r="S11" s="74" t="s">
        <v>0</v>
      </c>
      <c r="T11" s="51"/>
      <c r="U11" s="52">
        <f t="shared" si="2"/>
        <v>0</v>
      </c>
      <c r="V11" s="399"/>
      <c r="W11" s="53" t="s">
        <v>23</v>
      </c>
      <c r="X11" s="53">
        <v>8</v>
      </c>
      <c r="Y11" s="75">
        <f>ROUND($AF$1*X11/1000,1)</f>
        <v>0.6</v>
      </c>
      <c r="Z11" s="75" t="s">
        <v>0</v>
      </c>
      <c r="AA11" s="51"/>
      <c r="AB11" s="52">
        <f t="shared" si="3"/>
        <v>0</v>
      </c>
      <c r="AC11" s="376"/>
      <c r="AD11" s="187"/>
      <c r="AE11" s="22"/>
      <c r="AF11" s="151"/>
      <c r="AG11" s="196"/>
      <c r="AH11" s="51"/>
      <c r="AI11" s="52">
        <f t="shared" si="4"/>
        <v>0</v>
      </c>
      <c r="AM11" s="399"/>
      <c r="AN11" s="22" t="s">
        <v>117</v>
      </c>
      <c r="AO11" s="22" t="s">
        <v>21</v>
      </c>
      <c r="AP11" s="52">
        <v>3</v>
      </c>
      <c r="AQ11" s="52" t="s">
        <v>20</v>
      </c>
      <c r="AR11" s="376"/>
      <c r="AS11" s="22" t="s">
        <v>55</v>
      </c>
      <c r="AT11" s="22">
        <v>10</v>
      </c>
      <c r="AU11" s="75">
        <v>4</v>
      </c>
      <c r="AV11" s="24" t="s">
        <v>19</v>
      </c>
      <c r="AW11" s="51">
        <v>125</v>
      </c>
      <c r="AX11" s="52">
        <f>AU11*AW11</f>
        <v>500</v>
      </c>
      <c r="AY11" s="373"/>
      <c r="AZ11" s="148"/>
      <c r="BA11" s="148"/>
      <c r="BB11" s="93"/>
      <c r="BC11" s="93"/>
    </row>
    <row r="12" spans="1:55" s="50" customFormat="1" ht="18.75" customHeight="1">
      <c r="A12" s="425"/>
      <c r="B12" s="56"/>
      <c r="C12" s="56"/>
      <c r="D12" s="93"/>
      <c r="E12" s="93"/>
      <c r="F12" s="51"/>
      <c r="G12" s="52">
        <f t="shared" si="0"/>
        <v>0</v>
      </c>
      <c r="H12" s="399"/>
      <c r="I12" s="59" t="s">
        <v>121</v>
      </c>
      <c r="J12" s="22">
        <v>25</v>
      </c>
      <c r="K12" s="75">
        <f>ROUND($AF$1*J12/1000,1)</f>
        <v>1.8</v>
      </c>
      <c r="L12" s="74" t="s">
        <v>0</v>
      </c>
      <c r="M12" s="51"/>
      <c r="N12" s="52">
        <f t="shared" si="1"/>
        <v>0</v>
      </c>
      <c r="O12" s="399"/>
      <c r="P12" s="59" t="s">
        <v>62</v>
      </c>
      <c r="Q12" s="22">
        <v>12</v>
      </c>
      <c r="R12" s="75">
        <f>ROUND($AF$1*Q12/1000,1)</f>
        <v>0.9</v>
      </c>
      <c r="S12" s="74" t="s">
        <v>0</v>
      </c>
      <c r="T12" s="51"/>
      <c r="U12" s="52">
        <f t="shared" si="2"/>
        <v>0</v>
      </c>
      <c r="V12" s="399"/>
      <c r="W12" s="22" t="s">
        <v>117</v>
      </c>
      <c r="X12" s="22">
        <v>0.5</v>
      </c>
      <c r="Y12" s="75">
        <f>ROUND($AF$1*X12/5,1)</f>
        <v>7.2</v>
      </c>
      <c r="Z12" s="52" t="s">
        <v>20</v>
      </c>
      <c r="AA12" s="51"/>
      <c r="AB12" s="52">
        <f t="shared" si="3"/>
        <v>0</v>
      </c>
      <c r="AC12" s="376"/>
      <c r="AD12" s="60"/>
      <c r="AE12" s="52"/>
      <c r="AF12" s="75"/>
      <c r="AG12" s="61"/>
      <c r="AH12" s="51"/>
      <c r="AI12" s="52">
        <f>AF12*AH12</f>
        <v>0</v>
      </c>
      <c r="AM12" s="399"/>
      <c r="AN12" s="22"/>
      <c r="AO12" s="22"/>
      <c r="AP12" s="93"/>
      <c r="AQ12" s="93"/>
      <c r="AR12" s="376"/>
      <c r="AS12" s="22" t="s">
        <v>56</v>
      </c>
      <c r="AT12" s="23">
        <v>1</v>
      </c>
      <c r="AU12" s="75">
        <f>ROUND($AI$1*AT12/1000,1)</f>
        <v>0</v>
      </c>
      <c r="AV12" s="74" t="s">
        <v>0</v>
      </c>
      <c r="AW12" s="51"/>
      <c r="AX12" s="52">
        <f>AU12*AW12</f>
        <v>0</v>
      </c>
      <c r="AY12" s="373"/>
      <c r="AZ12" s="148"/>
      <c r="BA12" s="148"/>
      <c r="BB12" s="93"/>
      <c r="BC12" s="93"/>
    </row>
    <row r="13" spans="1:55" s="50" customFormat="1" ht="18.75" customHeight="1">
      <c r="A13" s="425"/>
      <c r="B13" s="253"/>
      <c r="C13" s="253"/>
      <c r="D13" s="252"/>
      <c r="E13" s="252"/>
      <c r="F13" s="51"/>
      <c r="G13" s="52">
        <f t="shared" si="0"/>
        <v>0</v>
      </c>
      <c r="H13" s="399"/>
      <c r="I13" s="22" t="s">
        <v>122</v>
      </c>
      <c r="J13" s="59">
        <v>0.1</v>
      </c>
      <c r="K13" s="75" t="s">
        <v>21</v>
      </c>
      <c r="L13" s="74" t="s">
        <v>19</v>
      </c>
      <c r="M13" s="51"/>
      <c r="N13" s="52"/>
      <c r="O13" s="399"/>
      <c r="P13" s="59"/>
      <c r="Q13" s="59"/>
      <c r="R13" s="75"/>
      <c r="S13" s="74"/>
      <c r="T13" s="51"/>
      <c r="U13" s="52"/>
      <c r="V13" s="399"/>
      <c r="W13" s="22"/>
      <c r="X13" s="22"/>
      <c r="Y13" s="93"/>
      <c r="Z13" s="93"/>
      <c r="AA13" s="51"/>
      <c r="AB13" s="52"/>
      <c r="AC13" s="376"/>
      <c r="AD13" s="192" t="s">
        <v>202</v>
      </c>
      <c r="AE13" s="55">
        <v>45</v>
      </c>
      <c r="AF13" s="75">
        <f>ROUND($AF$1*AE13/1000,0)</f>
        <v>3</v>
      </c>
      <c r="AG13" s="74" t="s">
        <v>19</v>
      </c>
      <c r="AH13" s="51"/>
      <c r="AI13" s="52">
        <f>AF13*AH13</f>
        <v>0</v>
      </c>
      <c r="AM13" s="399"/>
      <c r="AN13" s="22"/>
      <c r="AO13" s="22"/>
      <c r="AP13" s="75"/>
      <c r="AQ13" s="75"/>
      <c r="AR13" s="376"/>
      <c r="AS13" s="22" t="s">
        <v>37</v>
      </c>
      <c r="AT13" s="22">
        <v>15</v>
      </c>
      <c r="AU13" s="75">
        <v>0.6</v>
      </c>
      <c r="AV13" s="74" t="s">
        <v>0</v>
      </c>
      <c r="AW13" s="51"/>
      <c r="AX13" s="52">
        <f>AU13*AW13</f>
        <v>0</v>
      </c>
      <c r="AY13" s="452" t="s">
        <v>39</v>
      </c>
      <c r="AZ13" s="453"/>
      <c r="BA13" s="453"/>
      <c r="BB13" s="453"/>
      <c r="BC13" s="453"/>
    </row>
    <row r="14" spans="1:55" s="50" customFormat="1" ht="18.75" customHeight="1">
      <c r="A14" s="425"/>
      <c r="B14" s="254"/>
      <c r="C14" s="254"/>
      <c r="D14" s="252"/>
      <c r="E14" s="252"/>
      <c r="F14" s="51"/>
      <c r="G14" s="52"/>
      <c r="H14" s="399"/>
      <c r="I14" s="22"/>
      <c r="J14" s="59"/>
      <c r="K14" s="75"/>
      <c r="L14" s="74"/>
      <c r="M14" s="51"/>
      <c r="N14" s="52"/>
      <c r="O14" s="399"/>
      <c r="P14" s="59"/>
      <c r="Q14" s="59"/>
      <c r="R14" s="75"/>
      <c r="S14" s="74"/>
      <c r="T14" s="51"/>
      <c r="U14" s="52"/>
      <c r="V14" s="399"/>
      <c r="W14" s="22"/>
      <c r="X14" s="22"/>
      <c r="Y14" s="75"/>
      <c r="Z14" s="75"/>
      <c r="AA14" s="51"/>
      <c r="AB14" s="52"/>
      <c r="AC14" s="376"/>
      <c r="AD14" s="338" t="s">
        <v>238</v>
      </c>
      <c r="AE14" s="22">
        <v>78</v>
      </c>
      <c r="AF14" s="75" t="s">
        <v>21</v>
      </c>
      <c r="AG14" s="74" t="s">
        <v>48</v>
      </c>
      <c r="AH14" s="51"/>
      <c r="AI14" s="52"/>
      <c r="AM14" s="399"/>
      <c r="AN14" s="22"/>
      <c r="AO14" s="22"/>
      <c r="AP14" s="93"/>
      <c r="AQ14" s="93"/>
      <c r="AR14" s="376"/>
      <c r="AS14" s="27" t="s">
        <v>57</v>
      </c>
      <c r="AT14" s="28">
        <v>1</v>
      </c>
      <c r="AU14" s="75">
        <v>4</v>
      </c>
      <c r="AV14" s="74" t="s">
        <v>19</v>
      </c>
      <c r="AW14" s="51"/>
      <c r="AX14" s="52"/>
      <c r="AY14" s="449" t="s">
        <v>261</v>
      </c>
      <c r="AZ14" s="153" t="s">
        <v>188</v>
      </c>
      <c r="BA14" s="153">
        <v>10</v>
      </c>
      <c r="BB14" s="75">
        <f>ROUND($AF$1*BA14/100,1)</f>
        <v>7.2</v>
      </c>
      <c r="BC14" s="154" t="s">
        <v>20</v>
      </c>
    </row>
    <row r="15" spans="1:55" s="40" customFormat="1" ht="18.75" customHeight="1">
      <c r="A15" s="426"/>
      <c r="B15" s="254"/>
      <c r="C15" s="254"/>
      <c r="D15" s="252"/>
      <c r="E15" s="252"/>
      <c r="F15" s="51"/>
      <c r="G15" s="52"/>
      <c r="H15" s="399"/>
      <c r="I15" s="22"/>
      <c r="J15" s="22"/>
      <c r="K15" s="75"/>
      <c r="L15" s="74"/>
      <c r="M15" s="51"/>
      <c r="N15" s="52"/>
      <c r="O15" s="399"/>
      <c r="P15" s="22"/>
      <c r="Q15" s="22"/>
      <c r="R15" s="75"/>
      <c r="S15" s="74"/>
      <c r="T15" s="51"/>
      <c r="U15" s="52"/>
      <c r="V15" s="399"/>
      <c r="W15" s="22"/>
      <c r="X15" s="22"/>
      <c r="Y15" s="93"/>
      <c r="Z15" s="93"/>
      <c r="AA15" s="51"/>
      <c r="AB15" s="52"/>
      <c r="AC15" s="376"/>
      <c r="AD15" s="339" t="s">
        <v>269</v>
      </c>
      <c r="AE15" s="22"/>
      <c r="AF15" s="93"/>
      <c r="AG15" s="97"/>
      <c r="AH15" s="51"/>
      <c r="AI15" s="52"/>
      <c r="AM15" s="417" t="s">
        <v>39</v>
      </c>
      <c r="AN15" s="418"/>
      <c r="AO15" s="418"/>
      <c r="AP15" s="418"/>
      <c r="AQ15" s="419"/>
      <c r="AR15" s="376"/>
      <c r="AS15" s="29"/>
      <c r="AT15" s="29"/>
      <c r="AU15" s="25"/>
      <c r="AV15" s="26"/>
      <c r="AW15" s="51"/>
      <c r="AX15" s="52"/>
      <c r="AY15" s="450"/>
      <c r="AZ15" s="53" t="s">
        <v>76</v>
      </c>
      <c r="BA15" s="53">
        <v>20</v>
      </c>
      <c r="BB15" s="75">
        <f>ROUND($AF$1*BA15/600,1)</f>
        <v>2.4</v>
      </c>
      <c r="BC15" s="24" t="s">
        <v>115</v>
      </c>
    </row>
    <row r="16" spans="1:55" s="50" customFormat="1" ht="18.75" customHeight="1">
      <c r="A16" s="374" t="s">
        <v>39</v>
      </c>
      <c r="B16" s="374"/>
      <c r="C16" s="374"/>
      <c r="D16" s="374"/>
      <c r="E16" s="374"/>
      <c r="F16" s="87"/>
      <c r="G16" s="88"/>
      <c r="H16" s="374" t="s">
        <v>39</v>
      </c>
      <c r="I16" s="374"/>
      <c r="J16" s="374"/>
      <c r="K16" s="374"/>
      <c r="L16" s="374"/>
      <c r="M16" s="87"/>
      <c r="N16" s="88"/>
      <c r="O16" s="374" t="s">
        <v>39</v>
      </c>
      <c r="P16" s="374"/>
      <c r="Q16" s="374"/>
      <c r="R16" s="438"/>
      <c r="S16" s="438"/>
      <c r="T16" s="87"/>
      <c r="U16" s="88"/>
      <c r="V16" s="417" t="s">
        <v>39</v>
      </c>
      <c r="W16" s="418"/>
      <c r="X16" s="418"/>
      <c r="Y16" s="418"/>
      <c r="Z16" s="419"/>
      <c r="AA16" s="87"/>
      <c r="AB16" s="88"/>
      <c r="AC16" s="374" t="s">
        <v>39</v>
      </c>
      <c r="AD16" s="374"/>
      <c r="AE16" s="374"/>
      <c r="AF16" s="374"/>
      <c r="AG16" s="374"/>
      <c r="AH16" s="87"/>
      <c r="AI16" s="88"/>
      <c r="AM16" s="375" t="s">
        <v>42</v>
      </c>
      <c r="AN16" s="28" t="s">
        <v>58</v>
      </c>
      <c r="AO16" s="58">
        <v>50</v>
      </c>
      <c r="AP16" s="75">
        <f>ROUND($AF$1*AO16/1000,1)</f>
        <v>3.6</v>
      </c>
      <c r="AQ16" s="74" t="s">
        <v>0</v>
      </c>
      <c r="AR16" s="376"/>
      <c r="AS16" s="29"/>
      <c r="AT16" s="29"/>
      <c r="AU16" s="25"/>
      <c r="AV16" s="26"/>
      <c r="AW16" s="51"/>
      <c r="AX16" s="52"/>
      <c r="AY16" s="450"/>
      <c r="AZ16" s="53" t="s">
        <v>69</v>
      </c>
      <c r="BA16" s="53">
        <v>10</v>
      </c>
      <c r="BB16" s="75">
        <f>ROUND($AF$1*BA16/1000,1)</f>
        <v>0.7</v>
      </c>
      <c r="BC16" s="74" t="s">
        <v>0</v>
      </c>
    </row>
    <row r="17" spans="1:55" s="50" customFormat="1" ht="18.75" customHeight="1">
      <c r="A17" s="449" t="s">
        <v>261</v>
      </c>
      <c r="B17" s="153" t="s">
        <v>188</v>
      </c>
      <c r="C17" s="153">
        <v>10</v>
      </c>
      <c r="D17" s="75">
        <f>ROUND($AF$1*C17/100,1)</f>
        <v>7.2</v>
      </c>
      <c r="E17" s="154" t="s">
        <v>20</v>
      </c>
      <c r="F17" s="51"/>
      <c r="G17" s="52">
        <f>D17*F17</f>
        <v>0</v>
      </c>
      <c r="H17" s="375" t="s">
        <v>90</v>
      </c>
      <c r="I17" s="58" t="s">
        <v>18</v>
      </c>
      <c r="J17" s="58">
        <v>42</v>
      </c>
      <c r="K17" s="75">
        <f>ROUND($AF$1*J17/1000,1)</f>
        <v>3</v>
      </c>
      <c r="L17" s="74" t="s">
        <v>0</v>
      </c>
      <c r="M17" s="51"/>
      <c r="N17" s="52">
        <f>K17*M17</f>
        <v>0</v>
      </c>
      <c r="O17" s="446" t="s">
        <v>290</v>
      </c>
      <c r="P17" s="195" t="s">
        <v>170</v>
      </c>
      <c r="Q17" s="100">
        <v>3</v>
      </c>
      <c r="R17" s="151" t="s">
        <v>21</v>
      </c>
      <c r="S17" s="151" t="s">
        <v>20</v>
      </c>
      <c r="T17" s="51"/>
      <c r="U17" s="61"/>
      <c r="V17" s="375" t="s">
        <v>42</v>
      </c>
      <c r="W17" s="28" t="s">
        <v>58</v>
      </c>
      <c r="X17" s="58">
        <v>42</v>
      </c>
      <c r="Y17" s="75">
        <f>ROUND($AF$1*X17/1000,1)</f>
        <v>3</v>
      </c>
      <c r="Z17" s="74" t="s">
        <v>0</v>
      </c>
      <c r="AA17" s="51"/>
      <c r="AB17" s="52">
        <f>Y17*AA17</f>
        <v>0</v>
      </c>
      <c r="AC17" s="439" t="s">
        <v>110</v>
      </c>
      <c r="AD17" s="77" t="s">
        <v>207</v>
      </c>
      <c r="AE17" s="77">
        <v>2</v>
      </c>
      <c r="AF17" s="75">
        <f>ROUND($AF$1*AE17/37.5,0)</f>
        <v>4</v>
      </c>
      <c r="AG17" s="145" t="s">
        <v>20</v>
      </c>
      <c r="AH17" s="51"/>
      <c r="AI17" s="52">
        <f>AF17*AH17</f>
        <v>0</v>
      </c>
      <c r="AM17" s="376"/>
      <c r="AN17" s="28" t="s">
        <v>61</v>
      </c>
      <c r="AO17" s="58">
        <v>33</v>
      </c>
      <c r="AP17" s="75">
        <f>ROUND($AF$1*AO17/100,0)</f>
        <v>24</v>
      </c>
      <c r="AQ17" s="74" t="s">
        <v>54</v>
      </c>
      <c r="AR17" s="376"/>
      <c r="AS17" s="23"/>
      <c r="AT17" s="23"/>
      <c r="AU17" s="25"/>
      <c r="AV17" s="26"/>
      <c r="AW17" s="51"/>
      <c r="AX17" s="52">
        <f>AU17*AW17</f>
        <v>0</v>
      </c>
      <c r="AY17" s="450"/>
      <c r="AZ17" s="53" t="s">
        <v>183</v>
      </c>
      <c r="BA17" s="53">
        <v>15</v>
      </c>
      <c r="BB17" s="75">
        <v>3</v>
      </c>
      <c r="BC17" s="74" t="s">
        <v>0</v>
      </c>
    </row>
    <row r="18" spans="1:55" s="50" customFormat="1" ht="18.75" customHeight="1">
      <c r="A18" s="450"/>
      <c r="B18" s="53" t="s">
        <v>76</v>
      </c>
      <c r="C18" s="53">
        <v>18</v>
      </c>
      <c r="D18" s="75">
        <f>ROUND($AF$1*C18/600,0)</f>
        <v>2</v>
      </c>
      <c r="E18" s="24" t="s">
        <v>115</v>
      </c>
      <c r="F18" s="51"/>
      <c r="G18" s="52">
        <f>D18*F18</f>
        <v>0</v>
      </c>
      <c r="H18" s="376"/>
      <c r="I18" s="58" t="s">
        <v>93</v>
      </c>
      <c r="J18" s="58">
        <v>42</v>
      </c>
      <c r="K18" s="75">
        <f>ROUND($AF$1*J18/1000,1)</f>
        <v>3</v>
      </c>
      <c r="L18" s="74" t="s">
        <v>0</v>
      </c>
      <c r="M18" s="51"/>
      <c r="N18" s="52">
        <f>K18*M18</f>
        <v>0</v>
      </c>
      <c r="O18" s="447"/>
      <c r="P18" s="187" t="s">
        <v>171</v>
      </c>
      <c r="Q18" s="22">
        <v>15</v>
      </c>
      <c r="R18" s="151" t="s">
        <v>21</v>
      </c>
      <c r="S18" s="151" t="s">
        <v>20</v>
      </c>
      <c r="T18" s="51"/>
      <c r="U18" s="61"/>
      <c r="V18" s="376"/>
      <c r="W18" s="28" t="s">
        <v>291</v>
      </c>
      <c r="X18" s="58">
        <v>42</v>
      </c>
      <c r="Y18" s="75">
        <f>ROUND($AF$1*X18/1000,1)</f>
        <v>3</v>
      </c>
      <c r="Z18" s="74" t="s">
        <v>0</v>
      </c>
      <c r="AA18" s="51"/>
      <c r="AB18" s="52">
        <f>Y18*AA18</f>
        <v>0</v>
      </c>
      <c r="AC18" s="440"/>
      <c r="AD18" s="56" t="s">
        <v>108</v>
      </c>
      <c r="AE18" s="56">
        <v>8</v>
      </c>
      <c r="AF18" s="75">
        <f>ROUND($AF$1*AE18/1000,1)</f>
        <v>0.6</v>
      </c>
      <c r="AG18" s="145" t="s">
        <v>0</v>
      </c>
      <c r="AH18" s="51"/>
      <c r="AI18" s="52">
        <f>AF18*AH18</f>
        <v>0</v>
      </c>
      <c r="AM18" s="376"/>
      <c r="AN18" s="27" t="s">
        <v>45</v>
      </c>
      <c r="AO18" s="28">
        <v>50</v>
      </c>
      <c r="AP18" s="75">
        <v>3</v>
      </c>
      <c r="AQ18" s="74" t="s">
        <v>0</v>
      </c>
      <c r="AR18" s="437"/>
      <c r="AS18" s="23"/>
      <c r="AT18" s="23"/>
      <c r="AU18" s="25"/>
      <c r="AV18" s="26"/>
      <c r="AY18" s="450"/>
      <c r="AZ18" s="53" t="s">
        <v>262</v>
      </c>
      <c r="BA18" s="53"/>
      <c r="BB18" s="75">
        <v>1</v>
      </c>
      <c r="BC18" s="74" t="s">
        <v>19</v>
      </c>
    </row>
    <row r="19" spans="1:55" s="50" customFormat="1" ht="18.75" customHeight="1">
      <c r="A19" s="450"/>
      <c r="B19" s="53" t="s">
        <v>69</v>
      </c>
      <c r="C19" s="53">
        <v>10</v>
      </c>
      <c r="D19" s="75">
        <f>ROUND($AF$1*C19/1000,1)</f>
        <v>0.7</v>
      </c>
      <c r="E19" s="74" t="s">
        <v>0</v>
      </c>
      <c r="F19" s="51"/>
      <c r="G19" s="52">
        <f>D19*F19</f>
        <v>0</v>
      </c>
      <c r="H19" s="376"/>
      <c r="I19" s="78" t="s">
        <v>43</v>
      </c>
      <c r="J19" s="28">
        <v>42</v>
      </c>
      <c r="K19" s="75">
        <f>ROUND($AF$1*J19/1000,1)</f>
        <v>3</v>
      </c>
      <c r="L19" s="74" t="s">
        <v>0</v>
      </c>
      <c r="M19" s="51"/>
      <c r="N19" s="52">
        <f>K19*M19</f>
        <v>0</v>
      </c>
      <c r="O19" s="447"/>
      <c r="P19" s="187" t="s">
        <v>172</v>
      </c>
      <c r="Q19" s="22"/>
      <c r="R19" s="151" t="s">
        <v>21</v>
      </c>
      <c r="S19" s="23" t="s">
        <v>173</v>
      </c>
      <c r="T19" s="51"/>
      <c r="U19" s="61"/>
      <c r="V19" s="376"/>
      <c r="W19" s="27" t="s">
        <v>45</v>
      </c>
      <c r="X19" s="28">
        <v>42</v>
      </c>
      <c r="Y19" s="75">
        <f>ROUND($AF$1*X19/1000,1)</f>
        <v>3</v>
      </c>
      <c r="Z19" s="74" t="s">
        <v>0</v>
      </c>
      <c r="AA19" s="51"/>
      <c r="AB19" s="52">
        <f>Y19*AA19</f>
        <v>0</v>
      </c>
      <c r="AC19" s="440"/>
      <c r="AD19" s="56" t="s">
        <v>200</v>
      </c>
      <c r="AE19" s="56">
        <v>42</v>
      </c>
      <c r="AF19" s="75">
        <f>ROUND($AF$1*AE19/1000,1)</f>
        <v>3</v>
      </c>
      <c r="AG19" s="145" t="s">
        <v>0</v>
      </c>
      <c r="AH19" s="51"/>
      <c r="AI19" s="52">
        <f>AF19*AH19</f>
        <v>0</v>
      </c>
      <c r="AM19" s="376"/>
      <c r="AN19" s="22"/>
      <c r="AO19" s="22"/>
      <c r="AP19" s="93"/>
      <c r="AQ19" s="97"/>
      <c r="AR19" s="387" t="s">
        <v>40</v>
      </c>
      <c r="AS19" s="28" t="s">
        <v>41</v>
      </c>
      <c r="AT19" s="28">
        <v>3.5</v>
      </c>
      <c r="AU19" s="75" t="s">
        <v>21</v>
      </c>
      <c r="AV19" s="74" t="s">
        <v>0</v>
      </c>
      <c r="AW19" s="51"/>
      <c r="AX19" s="52" t="e">
        <f>AU19*AW19</f>
        <v>#VALUE!</v>
      </c>
      <c r="AY19" s="450"/>
      <c r="AZ19" s="57"/>
      <c r="BA19" s="57"/>
      <c r="BB19" s="150"/>
      <c r="BC19" s="152"/>
    </row>
    <row r="20" spans="1:55" s="50" customFormat="1" ht="18.75" customHeight="1">
      <c r="A20" s="450"/>
      <c r="B20" s="53" t="s">
        <v>183</v>
      </c>
      <c r="C20" s="53">
        <v>15</v>
      </c>
      <c r="D20" s="75">
        <v>3</v>
      </c>
      <c r="E20" s="74" t="s">
        <v>0</v>
      </c>
      <c r="F20" s="51"/>
      <c r="G20" s="52"/>
      <c r="H20" s="376"/>
      <c r="I20" s="161"/>
      <c r="J20" s="161"/>
      <c r="K20" s="75"/>
      <c r="L20" s="74"/>
      <c r="M20" s="51"/>
      <c r="N20" s="52">
        <f>K20*M20</f>
        <v>0</v>
      </c>
      <c r="O20" s="447"/>
      <c r="P20" s="338" t="s">
        <v>238</v>
      </c>
      <c r="Q20" s="22">
        <v>128</v>
      </c>
      <c r="R20" s="75" t="s">
        <v>21</v>
      </c>
      <c r="S20" s="74" t="s">
        <v>48</v>
      </c>
      <c r="T20" s="51"/>
      <c r="U20" s="61"/>
      <c r="V20" s="376"/>
      <c r="W20" s="22"/>
      <c r="X20" s="22"/>
      <c r="Y20" s="93"/>
      <c r="Z20" s="97"/>
      <c r="AA20" s="51"/>
      <c r="AB20" s="52"/>
      <c r="AC20" s="440"/>
      <c r="AD20" s="27" t="s">
        <v>18</v>
      </c>
      <c r="AE20" s="56">
        <v>42</v>
      </c>
      <c r="AF20" s="75">
        <f>ROUND($AF$1*AE20/1000,1)</f>
        <v>3</v>
      </c>
      <c r="AG20" s="145" t="s">
        <v>0</v>
      </c>
      <c r="AH20" s="51"/>
      <c r="AI20" s="52">
        <f>AF20*AH20</f>
        <v>0</v>
      </c>
      <c r="AM20" s="376"/>
      <c r="AN20" s="60" t="s">
        <v>13</v>
      </c>
      <c r="AO20" s="52">
        <v>133</v>
      </c>
      <c r="AP20" s="52">
        <v>4</v>
      </c>
      <c r="AQ20" s="61" t="s">
        <v>48</v>
      </c>
      <c r="AR20" s="388"/>
      <c r="AS20" s="28" t="s">
        <v>44</v>
      </c>
      <c r="AT20" s="28">
        <v>3.5</v>
      </c>
      <c r="AU20" s="75" t="s">
        <v>21</v>
      </c>
      <c r="AV20" s="74" t="s">
        <v>0</v>
      </c>
      <c r="AW20" s="51"/>
      <c r="AX20" s="52" t="e">
        <f>AU20*AW20</f>
        <v>#VALUE!</v>
      </c>
      <c r="AY20" s="450"/>
      <c r="AZ20" s="57"/>
      <c r="BA20" s="57"/>
      <c r="BB20" s="150"/>
      <c r="BC20" s="152"/>
    </row>
    <row r="21" spans="1:55" s="50" customFormat="1" ht="18.75" customHeight="1" thickBot="1">
      <c r="A21" s="450"/>
      <c r="B21" s="53" t="s">
        <v>262</v>
      </c>
      <c r="C21" s="53"/>
      <c r="D21" s="75">
        <v>1</v>
      </c>
      <c r="E21" s="74" t="s">
        <v>19</v>
      </c>
      <c r="F21" s="51"/>
      <c r="G21" s="52">
        <f>D21*F21</f>
        <v>0</v>
      </c>
      <c r="H21" s="376"/>
      <c r="I21" s="56" t="s">
        <v>274</v>
      </c>
      <c r="J21" s="343">
        <v>128</v>
      </c>
      <c r="K21" s="252">
        <f>ROUND($AE$1*J21/1000,0)</f>
        <v>9</v>
      </c>
      <c r="L21" s="252" t="s">
        <v>19</v>
      </c>
      <c r="M21" s="51"/>
      <c r="N21" s="52"/>
      <c r="O21" s="447"/>
      <c r="P21" s="339" t="s">
        <v>269</v>
      </c>
      <c r="Q21" s="22"/>
      <c r="R21" s="75"/>
      <c r="S21" s="74"/>
      <c r="T21" s="51"/>
      <c r="U21" s="61">
        <f>R21*T21</f>
        <v>0</v>
      </c>
      <c r="V21" s="376"/>
      <c r="W21" s="338" t="s">
        <v>238</v>
      </c>
      <c r="X21" s="22">
        <v>128</v>
      </c>
      <c r="Y21" s="75" t="s">
        <v>21</v>
      </c>
      <c r="Z21" s="74" t="s">
        <v>48</v>
      </c>
      <c r="AA21" s="51"/>
      <c r="AB21" s="52" t="e">
        <f>Y21*AA21</f>
        <v>#VALUE!</v>
      </c>
      <c r="AC21" s="440"/>
      <c r="AD21" s="58" t="s">
        <v>58</v>
      </c>
      <c r="AE21" s="56">
        <v>42</v>
      </c>
      <c r="AF21" s="75">
        <f>ROUND($AF$1*AE21/1000,1)</f>
        <v>3</v>
      </c>
      <c r="AG21" s="145" t="s">
        <v>0</v>
      </c>
      <c r="AH21" s="51"/>
      <c r="AI21" s="52">
        <f>AF21*AH21</f>
        <v>0</v>
      </c>
      <c r="AM21" s="376"/>
      <c r="AN21" s="22"/>
      <c r="AO21" s="22"/>
      <c r="AP21" s="93"/>
      <c r="AQ21" s="97"/>
      <c r="AR21" s="388"/>
      <c r="AS21" s="28" t="s">
        <v>46</v>
      </c>
      <c r="AT21" s="28">
        <v>7</v>
      </c>
      <c r="AU21" s="75">
        <v>0.2</v>
      </c>
      <c r="AV21" s="74" t="s">
        <v>0</v>
      </c>
      <c r="AW21" s="51">
        <v>48</v>
      </c>
      <c r="AX21" s="52">
        <f>AU21*AW21</f>
        <v>9.600000000000001</v>
      </c>
      <c r="AY21" s="451"/>
      <c r="AZ21" s="314"/>
      <c r="BA21" s="314"/>
      <c r="BB21" s="315"/>
      <c r="BC21" s="316"/>
    </row>
    <row r="22" spans="1:55" s="50" customFormat="1" ht="18.75" customHeight="1">
      <c r="A22" s="450"/>
      <c r="B22" s="57"/>
      <c r="C22" s="57"/>
      <c r="D22" s="150"/>
      <c r="E22" s="152"/>
      <c r="F22" s="51"/>
      <c r="G22" s="52"/>
      <c r="H22" s="376"/>
      <c r="I22" s="161"/>
      <c r="J22" s="161"/>
      <c r="K22" s="75"/>
      <c r="L22" s="74"/>
      <c r="M22" s="51"/>
      <c r="N22" s="52"/>
      <c r="O22" s="447"/>
      <c r="P22" s="339"/>
      <c r="Q22" s="22"/>
      <c r="R22" s="93"/>
      <c r="S22" s="97"/>
      <c r="T22" s="51"/>
      <c r="U22" s="61"/>
      <c r="V22" s="376"/>
      <c r="W22" s="339" t="s">
        <v>268</v>
      </c>
      <c r="X22" s="22"/>
      <c r="Y22" s="93"/>
      <c r="Z22" s="97"/>
      <c r="AA22" s="51"/>
      <c r="AB22" s="52"/>
      <c r="AC22" s="440"/>
      <c r="AD22" s="58" t="s">
        <v>66</v>
      </c>
      <c r="AE22" s="79"/>
      <c r="AF22" s="78" t="s">
        <v>21</v>
      </c>
      <c r="AG22" s="145" t="s">
        <v>0</v>
      </c>
      <c r="AH22" s="51"/>
      <c r="AI22" s="52"/>
      <c r="AM22" s="376"/>
      <c r="AN22" s="22"/>
      <c r="AO22" s="22"/>
      <c r="AP22" s="93"/>
      <c r="AQ22" s="97"/>
      <c r="AR22" s="388"/>
      <c r="AS22" s="28" t="s">
        <v>47</v>
      </c>
      <c r="AT22" s="28">
        <v>3.5</v>
      </c>
      <c r="AU22" s="75" t="s">
        <v>21</v>
      </c>
      <c r="AV22" s="74" t="s">
        <v>0</v>
      </c>
      <c r="AW22" s="51"/>
      <c r="AX22" s="52" t="e">
        <f>AU22*AW22</f>
        <v>#VALUE!</v>
      </c>
      <c r="AY22" s="381" t="s">
        <v>80</v>
      </c>
      <c r="AZ22" s="101" t="s">
        <v>81</v>
      </c>
      <c r="BA22" s="358">
        <v>2.5</v>
      </c>
      <c r="BB22" s="358"/>
      <c r="BC22" s="391"/>
    </row>
    <row r="23" spans="1:55" s="50" customFormat="1" ht="18.75" customHeight="1" thickBot="1">
      <c r="A23" s="450"/>
      <c r="B23" s="57"/>
      <c r="C23" s="57"/>
      <c r="D23" s="150"/>
      <c r="E23" s="152"/>
      <c r="F23" s="51"/>
      <c r="G23" s="52"/>
      <c r="H23" s="376"/>
      <c r="I23" s="161"/>
      <c r="J23" s="161"/>
      <c r="K23" s="75"/>
      <c r="L23" s="74"/>
      <c r="M23" s="51"/>
      <c r="N23" s="52"/>
      <c r="O23" s="447"/>
      <c r="P23" s="62"/>
      <c r="Q23" s="62"/>
      <c r="R23" s="75"/>
      <c r="S23" s="75"/>
      <c r="T23" s="51"/>
      <c r="U23" s="61"/>
      <c r="V23" s="376"/>
      <c r="W23" s="22"/>
      <c r="X23" s="22"/>
      <c r="Y23" s="93"/>
      <c r="Z23" s="97"/>
      <c r="AA23" s="51"/>
      <c r="AB23" s="52"/>
      <c r="AC23" s="440"/>
      <c r="AD23" s="80" t="s">
        <v>67</v>
      </c>
      <c r="AE23" s="80"/>
      <c r="AF23" s="444" t="s">
        <v>99</v>
      </c>
      <c r="AG23" s="445"/>
      <c r="AH23" s="51"/>
      <c r="AI23" s="52"/>
      <c r="AM23" s="420"/>
      <c r="AN23" s="175"/>
      <c r="AO23" s="175"/>
      <c r="AP23" s="176"/>
      <c r="AQ23" s="177"/>
      <c r="AR23" s="388"/>
      <c r="AS23" s="28" t="s">
        <v>49</v>
      </c>
      <c r="AT23" s="28">
        <v>3.5</v>
      </c>
      <c r="AU23" s="75" t="s">
        <v>21</v>
      </c>
      <c r="AV23" s="74" t="s">
        <v>0</v>
      </c>
      <c r="AW23" s="51"/>
      <c r="AX23" s="52"/>
      <c r="AY23" s="382"/>
      <c r="AZ23" s="103" t="s">
        <v>82</v>
      </c>
      <c r="BA23" s="365">
        <v>0.6</v>
      </c>
      <c r="BB23" s="365"/>
      <c r="BC23" s="366"/>
    </row>
    <row r="24" spans="1:55" s="50" customFormat="1" ht="18.75" customHeight="1" thickBot="1">
      <c r="A24" s="451"/>
      <c r="B24" s="314"/>
      <c r="C24" s="314"/>
      <c r="D24" s="315"/>
      <c r="E24" s="316"/>
      <c r="F24" s="312"/>
      <c r="G24" s="313">
        <f>D24*F24</f>
        <v>0</v>
      </c>
      <c r="H24" s="420"/>
      <c r="I24" s="310"/>
      <c r="J24" s="310"/>
      <c r="K24" s="178"/>
      <c r="L24" s="311"/>
      <c r="M24" s="312"/>
      <c r="N24" s="313"/>
      <c r="O24" s="448"/>
      <c r="P24" s="175" t="s">
        <v>58</v>
      </c>
      <c r="Q24" s="175">
        <v>70</v>
      </c>
      <c r="R24" s="178">
        <f>ROUND($AF$1*Q24/1000,1)</f>
        <v>5</v>
      </c>
      <c r="S24" s="178" t="s">
        <v>0</v>
      </c>
      <c r="T24" s="312"/>
      <c r="U24" s="317">
        <f>R24*T24</f>
        <v>0</v>
      </c>
      <c r="V24" s="420"/>
      <c r="W24" s="175"/>
      <c r="X24" s="175"/>
      <c r="Y24" s="176"/>
      <c r="Z24" s="177"/>
      <c r="AA24" s="312"/>
      <c r="AB24" s="313">
        <f>Y24*AA24</f>
        <v>0</v>
      </c>
      <c r="AC24" s="441"/>
      <c r="AD24" s="191" t="s">
        <v>109</v>
      </c>
      <c r="AE24" s="442" t="s">
        <v>98</v>
      </c>
      <c r="AF24" s="442"/>
      <c r="AG24" s="443"/>
      <c r="AH24" s="312"/>
      <c r="AI24" s="52">
        <f>AF24*AH24</f>
        <v>0</v>
      </c>
      <c r="AM24" s="414" t="s">
        <v>80</v>
      </c>
      <c r="AN24" s="101" t="s">
        <v>81</v>
      </c>
      <c r="AO24" s="358">
        <v>1.5</v>
      </c>
      <c r="AP24" s="358"/>
      <c r="AQ24" s="391"/>
      <c r="AR24" s="388"/>
      <c r="AS24" s="22" t="s">
        <v>50</v>
      </c>
      <c r="AT24" s="22">
        <v>40</v>
      </c>
      <c r="AU24" s="75">
        <v>1</v>
      </c>
      <c r="AV24" s="74" t="s">
        <v>20</v>
      </c>
      <c r="AW24" s="51">
        <v>40</v>
      </c>
      <c r="AX24" s="52"/>
      <c r="AY24" s="382"/>
      <c r="AZ24" s="111" t="s">
        <v>85</v>
      </c>
      <c r="BA24" s="365">
        <v>0.4</v>
      </c>
      <c r="BB24" s="365"/>
      <c r="BC24" s="366"/>
    </row>
    <row r="25" spans="1:55" s="40" customFormat="1" ht="18.75" customHeight="1">
      <c r="A25" s="421" t="s">
        <v>80</v>
      </c>
      <c r="B25" s="101" t="s">
        <v>81</v>
      </c>
      <c r="C25" s="358">
        <v>2.5</v>
      </c>
      <c r="D25" s="358"/>
      <c r="E25" s="391"/>
      <c r="F25" s="360">
        <f>SUM(G6:G24)</f>
        <v>0</v>
      </c>
      <c r="G25" s="361"/>
      <c r="H25" s="368" t="s">
        <v>80</v>
      </c>
      <c r="I25" s="101" t="s">
        <v>81</v>
      </c>
      <c r="J25" s="358">
        <v>2</v>
      </c>
      <c r="K25" s="358"/>
      <c r="L25" s="391"/>
      <c r="M25" s="360">
        <f>SUM(N6:N24)</f>
        <v>0</v>
      </c>
      <c r="N25" s="361"/>
      <c r="O25" s="427" t="s">
        <v>80</v>
      </c>
      <c r="P25" s="167" t="s">
        <v>81</v>
      </c>
      <c r="Q25" s="358">
        <v>2.2</v>
      </c>
      <c r="R25" s="358"/>
      <c r="S25" s="391"/>
      <c r="T25" s="371">
        <f>SUM(U6:U24)</f>
        <v>0</v>
      </c>
      <c r="U25" s="361"/>
      <c r="V25" s="414" t="s">
        <v>80</v>
      </c>
      <c r="W25" s="101" t="s">
        <v>81</v>
      </c>
      <c r="X25" s="358">
        <v>1.5</v>
      </c>
      <c r="Y25" s="358"/>
      <c r="Z25" s="391"/>
      <c r="AA25" s="360" t="e">
        <f>SUM(AB6:AB24)</f>
        <v>#VALUE!</v>
      </c>
      <c r="AB25" s="361"/>
      <c r="AC25" s="381" t="s">
        <v>80</v>
      </c>
      <c r="AD25" s="101" t="s">
        <v>81</v>
      </c>
      <c r="AE25" s="358">
        <v>1.5</v>
      </c>
      <c r="AF25" s="358"/>
      <c r="AG25" s="359"/>
      <c r="AH25" s="360">
        <f>SUM(AI6:AI24)</f>
        <v>0</v>
      </c>
      <c r="AI25" s="361"/>
      <c r="AJ25" s="127">
        <f>(C25+J25+Q25+X25+AE25)/5</f>
        <v>1.94</v>
      </c>
      <c r="AM25" s="415"/>
      <c r="AN25" s="103" t="s">
        <v>82</v>
      </c>
      <c r="AO25" s="365">
        <v>0.5</v>
      </c>
      <c r="AP25" s="365"/>
      <c r="AQ25" s="366"/>
      <c r="AR25" s="388"/>
      <c r="AY25" s="382"/>
      <c r="AZ25" s="112" t="s">
        <v>83</v>
      </c>
      <c r="BA25" s="365">
        <v>0.7</v>
      </c>
      <c r="BB25" s="365"/>
      <c r="BC25" s="366"/>
    </row>
    <row r="26" spans="1:55" s="40" customFormat="1" ht="18.75" customHeight="1">
      <c r="A26" s="422"/>
      <c r="B26" s="103" t="s">
        <v>82</v>
      </c>
      <c r="C26" s="365">
        <v>0.5</v>
      </c>
      <c r="D26" s="365"/>
      <c r="E26" s="366"/>
      <c r="F26" s="104"/>
      <c r="G26" s="105"/>
      <c r="H26" s="369"/>
      <c r="I26" s="103" t="s">
        <v>82</v>
      </c>
      <c r="J26" s="365">
        <v>0.5</v>
      </c>
      <c r="K26" s="365"/>
      <c r="L26" s="366"/>
      <c r="M26" s="106"/>
      <c r="N26" s="105"/>
      <c r="O26" s="428"/>
      <c r="P26" s="168" t="s">
        <v>82</v>
      </c>
      <c r="Q26" s="365">
        <v>0.8</v>
      </c>
      <c r="R26" s="365"/>
      <c r="S26" s="366"/>
      <c r="T26" s="286"/>
      <c r="U26" s="107"/>
      <c r="V26" s="415"/>
      <c r="W26" s="103" t="s">
        <v>82</v>
      </c>
      <c r="X26" s="365">
        <v>0.5</v>
      </c>
      <c r="Y26" s="365"/>
      <c r="Z26" s="366"/>
      <c r="AA26" s="108"/>
      <c r="AB26" s="105"/>
      <c r="AC26" s="382"/>
      <c r="AD26" s="103" t="s">
        <v>82</v>
      </c>
      <c r="AE26" s="365">
        <v>0.6</v>
      </c>
      <c r="AF26" s="365"/>
      <c r="AG26" s="367"/>
      <c r="AH26" s="109"/>
      <c r="AI26" s="110"/>
      <c r="AJ26" s="127">
        <f aca="true" t="shared" si="5" ref="AJ26:AJ31">(C26+J26+Q26+X26+AE26)/5</f>
        <v>0.58</v>
      </c>
      <c r="AM26" s="415"/>
      <c r="AN26" s="111" t="s">
        <v>85</v>
      </c>
      <c r="AO26" s="365">
        <v>0.5</v>
      </c>
      <c r="AP26" s="365"/>
      <c r="AQ26" s="366"/>
      <c r="AR26" s="388"/>
      <c r="AY26" s="382"/>
      <c r="AZ26" s="103" t="s">
        <v>86</v>
      </c>
      <c r="BA26" s="365">
        <v>0</v>
      </c>
      <c r="BB26" s="365"/>
      <c r="BC26" s="366"/>
    </row>
    <row r="27" spans="1:55" s="40" customFormat="1" ht="18.75" customHeight="1">
      <c r="A27" s="422"/>
      <c r="B27" s="111" t="s">
        <v>85</v>
      </c>
      <c r="C27" s="365">
        <v>0.5</v>
      </c>
      <c r="D27" s="365"/>
      <c r="E27" s="366"/>
      <c r="F27" s="104"/>
      <c r="G27" s="105"/>
      <c r="H27" s="369"/>
      <c r="I27" s="111" t="s">
        <v>85</v>
      </c>
      <c r="J27" s="365">
        <v>0.5</v>
      </c>
      <c r="K27" s="365"/>
      <c r="L27" s="366"/>
      <c r="M27" s="106"/>
      <c r="N27" s="105"/>
      <c r="O27" s="428"/>
      <c r="P27" s="169" t="s">
        <v>85</v>
      </c>
      <c r="Q27" s="365">
        <v>0.5</v>
      </c>
      <c r="R27" s="365"/>
      <c r="S27" s="366"/>
      <c r="T27" s="286"/>
      <c r="U27" s="107"/>
      <c r="V27" s="415"/>
      <c r="W27" s="111" t="s">
        <v>85</v>
      </c>
      <c r="X27" s="365">
        <v>0.5</v>
      </c>
      <c r="Y27" s="365"/>
      <c r="Z27" s="366"/>
      <c r="AA27" s="108"/>
      <c r="AB27" s="105"/>
      <c r="AC27" s="382"/>
      <c r="AD27" s="111" t="s">
        <v>85</v>
      </c>
      <c r="AE27" s="365">
        <v>0.1</v>
      </c>
      <c r="AF27" s="365"/>
      <c r="AG27" s="367"/>
      <c r="AH27" s="109"/>
      <c r="AI27" s="110"/>
      <c r="AJ27" s="127">
        <f t="shared" si="5"/>
        <v>0.42000000000000004</v>
      </c>
      <c r="AM27" s="415"/>
      <c r="AN27" s="112" t="s">
        <v>83</v>
      </c>
      <c r="AO27" s="365">
        <v>0.5</v>
      </c>
      <c r="AP27" s="365"/>
      <c r="AQ27" s="366"/>
      <c r="AR27" s="73"/>
      <c r="AY27" s="382"/>
      <c r="AZ27" s="103" t="s">
        <v>87</v>
      </c>
      <c r="BA27" s="365">
        <v>0.6</v>
      </c>
      <c r="BB27" s="365"/>
      <c r="BC27" s="366"/>
    </row>
    <row r="28" spans="1:55" s="40" customFormat="1" ht="18.75" customHeight="1" thickBot="1">
      <c r="A28" s="422"/>
      <c r="B28" s="112" t="s">
        <v>83</v>
      </c>
      <c r="C28" s="365">
        <v>0.5</v>
      </c>
      <c r="D28" s="365"/>
      <c r="E28" s="366"/>
      <c r="F28" s="104"/>
      <c r="G28" s="105"/>
      <c r="H28" s="369"/>
      <c r="I28" s="112" t="s">
        <v>83</v>
      </c>
      <c r="J28" s="365">
        <v>0.5</v>
      </c>
      <c r="K28" s="365"/>
      <c r="L28" s="366"/>
      <c r="M28" s="106"/>
      <c r="N28" s="105"/>
      <c r="O28" s="428"/>
      <c r="P28" s="170" t="s">
        <v>84</v>
      </c>
      <c r="Q28" s="365">
        <v>0.5</v>
      </c>
      <c r="R28" s="365"/>
      <c r="S28" s="366"/>
      <c r="T28" s="286"/>
      <c r="U28" s="107"/>
      <c r="V28" s="415"/>
      <c r="W28" s="112" t="s">
        <v>83</v>
      </c>
      <c r="X28" s="365">
        <v>0.5</v>
      </c>
      <c r="Y28" s="365"/>
      <c r="Z28" s="366"/>
      <c r="AA28" s="108"/>
      <c r="AB28" s="105"/>
      <c r="AC28" s="382"/>
      <c r="AD28" s="112" t="s">
        <v>84</v>
      </c>
      <c r="AE28" s="365">
        <v>0.5</v>
      </c>
      <c r="AF28" s="365"/>
      <c r="AG28" s="367"/>
      <c r="AH28" s="109"/>
      <c r="AI28" s="110"/>
      <c r="AJ28" s="127">
        <f t="shared" si="5"/>
        <v>0.5</v>
      </c>
      <c r="AM28" s="415"/>
      <c r="AN28" s="103" t="s">
        <v>86</v>
      </c>
      <c r="AO28" s="365">
        <v>1</v>
      </c>
      <c r="AP28" s="365"/>
      <c r="AQ28" s="366"/>
      <c r="AR28" s="73"/>
      <c r="AY28" s="383"/>
      <c r="AZ28" s="114" t="s">
        <v>88</v>
      </c>
      <c r="BA28" s="379">
        <f>BA22*70+BA23*75+BA24*25+BA25*45+BA27*120+BA26*60</f>
        <v>333.5</v>
      </c>
      <c r="BB28" s="379"/>
      <c r="BC28" s="380"/>
    </row>
    <row r="29" spans="1:44" s="40" customFormat="1" ht="18.75" customHeight="1">
      <c r="A29" s="422"/>
      <c r="B29" s="103" t="s">
        <v>86</v>
      </c>
      <c r="C29" s="365">
        <v>1.5</v>
      </c>
      <c r="D29" s="365"/>
      <c r="E29" s="366"/>
      <c r="F29" s="104"/>
      <c r="G29" s="105"/>
      <c r="H29" s="369"/>
      <c r="I29" s="103" t="s">
        <v>86</v>
      </c>
      <c r="J29" s="365">
        <v>1</v>
      </c>
      <c r="K29" s="365"/>
      <c r="L29" s="366"/>
      <c r="M29" s="106"/>
      <c r="N29" s="105"/>
      <c r="O29" s="428"/>
      <c r="P29" s="168" t="s">
        <v>86</v>
      </c>
      <c r="Q29" s="365">
        <v>1</v>
      </c>
      <c r="R29" s="365"/>
      <c r="S29" s="366"/>
      <c r="T29" s="286"/>
      <c r="U29" s="107"/>
      <c r="V29" s="415"/>
      <c r="W29" s="103" t="s">
        <v>86</v>
      </c>
      <c r="X29" s="365">
        <v>1</v>
      </c>
      <c r="Y29" s="365"/>
      <c r="Z29" s="366"/>
      <c r="AA29" s="108"/>
      <c r="AB29" s="105"/>
      <c r="AC29" s="382"/>
      <c r="AD29" s="103" t="s">
        <v>86</v>
      </c>
      <c r="AE29" s="365">
        <v>1</v>
      </c>
      <c r="AF29" s="365"/>
      <c r="AG29" s="367"/>
      <c r="AH29" s="109"/>
      <c r="AI29" s="110"/>
      <c r="AJ29" s="127">
        <f t="shared" si="5"/>
        <v>1.1</v>
      </c>
      <c r="AM29" s="415"/>
      <c r="AN29" s="103" t="s">
        <v>87</v>
      </c>
      <c r="AO29" s="365">
        <v>0.6</v>
      </c>
      <c r="AP29" s="365"/>
      <c r="AQ29" s="366"/>
      <c r="AR29" s="73"/>
    </row>
    <row r="30" spans="1:44" s="40" customFormat="1" ht="18.75" customHeight="1" thickBot="1">
      <c r="A30" s="422"/>
      <c r="B30" s="103" t="s">
        <v>87</v>
      </c>
      <c r="C30" s="365">
        <v>0.6</v>
      </c>
      <c r="D30" s="365"/>
      <c r="E30" s="366"/>
      <c r="F30" s="104"/>
      <c r="G30" s="105"/>
      <c r="H30" s="369"/>
      <c r="I30" s="103" t="s">
        <v>87</v>
      </c>
      <c r="J30" s="365">
        <v>0.6</v>
      </c>
      <c r="K30" s="365"/>
      <c r="L30" s="366"/>
      <c r="M30" s="113"/>
      <c r="N30" s="105"/>
      <c r="O30" s="428"/>
      <c r="P30" s="168" t="s">
        <v>87</v>
      </c>
      <c r="Q30" s="365">
        <v>0.3</v>
      </c>
      <c r="R30" s="365"/>
      <c r="S30" s="366"/>
      <c r="T30" s="286"/>
      <c r="U30" s="107"/>
      <c r="V30" s="415"/>
      <c r="W30" s="103" t="s">
        <v>87</v>
      </c>
      <c r="X30" s="365">
        <v>0.5</v>
      </c>
      <c r="Y30" s="365"/>
      <c r="Z30" s="366"/>
      <c r="AA30" s="108"/>
      <c r="AB30" s="105"/>
      <c r="AC30" s="382"/>
      <c r="AD30" s="103" t="s">
        <v>87</v>
      </c>
      <c r="AE30" s="365">
        <v>0.3</v>
      </c>
      <c r="AF30" s="365"/>
      <c r="AG30" s="367"/>
      <c r="AH30" s="109"/>
      <c r="AI30" s="110"/>
      <c r="AJ30" s="127">
        <f t="shared" si="5"/>
        <v>0.45999999999999996</v>
      </c>
      <c r="AM30" s="416"/>
      <c r="AN30" s="114" t="s">
        <v>88</v>
      </c>
      <c r="AO30" s="379">
        <f>AO24*70+AO25*75+AO26*25+AO27*45+AO29*120+AO28*60</f>
        <v>309.5</v>
      </c>
      <c r="AP30" s="379"/>
      <c r="AQ30" s="380"/>
      <c r="AR30" s="73"/>
    </row>
    <row r="31" spans="1:44" s="40" customFormat="1" ht="18.75" customHeight="1" thickBot="1">
      <c r="A31" s="423"/>
      <c r="B31" s="114" t="s">
        <v>88</v>
      </c>
      <c r="C31" s="379">
        <f>C25*70+C26*75+C27*25+C28*45+C30*120+C29*60</f>
        <v>409.5</v>
      </c>
      <c r="D31" s="379"/>
      <c r="E31" s="380"/>
      <c r="F31" s="115"/>
      <c r="G31" s="116"/>
      <c r="H31" s="370"/>
      <c r="I31" s="114" t="s">
        <v>88</v>
      </c>
      <c r="J31" s="379">
        <f>J25*70+J26*75+J27*25+J28*45+J30*120+J29*60</f>
        <v>344.5</v>
      </c>
      <c r="K31" s="379"/>
      <c r="L31" s="380"/>
      <c r="M31" s="117"/>
      <c r="N31" s="116"/>
      <c r="O31" s="429"/>
      <c r="P31" s="171" t="s">
        <v>88</v>
      </c>
      <c r="Q31" s="379">
        <f>Q25*70+Q26*75+Q27*25+Q28*45+Q30*120+Q29*60</f>
        <v>345</v>
      </c>
      <c r="R31" s="379"/>
      <c r="S31" s="380"/>
      <c r="T31" s="289"/>
      <c r="U31" s="118"/>
      <c r="V31" s="416"/>
      <c r="W31" s="114" t="s">
        <v>88</v>
      </c>
      <c r="X31" s="379">
        <f>X25*70+X26*75+X27*25+X28*45+X30*120+X29*60</f>
        <v>297.5</v>
      </c>
      <c r="Y31" s="379"/>
      <c r="Z31" s="380"/>
      <c r="AA31" s="119"/>
      <c r="AB31" s="116"/>
      <c r="AC31" s="383"/>
      <c r="AD31" s="114" t="s">
        <v>88</v>
      </c>
      <c r="AE31" s="379">
        <f>AE25*70+AE26*75+AE27*25+AE28*45+AE30*120+AE29*60</f>
        <v>271</v>
      </c>
      <c r="AF31" s="379"/>
      <c r="AG31" s="384"/>
      <c r="AH31" s="120"/>
      <c r="AI31" s="121"/>
      <c r="AJ31" s="127">
        <f t="shared" si="5"/>
        <v>333.5</v>
      </c>
      <c r="AR31" s="73"/>
    </row>
    <row r="32" spans="1:50" s="50" customFormat="1" ht="18.75" customHeight="1">
      <c r="A32" s="82"/>
      <c r="B32" s="83"/>
      <c r="C32" s="83"/>
      <c r="D32" s="122"/>
      <c r="E32" s="122"/>
      <c r="F32" s="84"/>
      <c r="G32" s="83"/>
      <c r="H32" s="85"/>
      <c r="I32" s="83"/>
      <c r="J32" s="83"/>
      <c r="K32" s="122"/>
      <c r="L32" s="122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2"/>
      <c r="AG32" s="122"/>
      <c r="AH32" s="84"/>
      <c r="AI32" s="83"/>
      <c r="AR32" s="73"/>
      <c r="AS32" s="22"/>
      <c r="AT32" s="22"/>
      <c r="AU32" s="75"/>
      <c r="AV32" s="74"/>
      <c r="AW32" s="51"/>
      <c r="AX32" s="52"/>
    </row>
    <row r="33" spans="1:61" s="50" customFormat="1" ht="19.5" customHeight="1">
      <c r="A33" s="392" t="s">
        <v>51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123"/>
      <c r="AJ33" s="64"/>
      <c r="AK33" s="64"/>
      <c r="AL33" s="65"/>
      <c r="AM33" s="65"/>
      <c r="AN33" s="65"/>
      <c r="AO33" s="65"/>
      <c r="AP33" s="65"/>
      <c r="AQ33" s="65"/>
      <c r="AR33" s="73"/>
      <c r="AS33" s="22"/>
      <c r="AT33" s="22"/>
      <c r="AU33" s="93"/>
      <c r="AV33" s="97"/>
      <c r="AW33" s="51"/>
      <c r="AX33" s="52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</row>
    <row r="34" spans="1:61" s="50" customFormat="1" ht="22.5" customHeight="1">
      <c r="A34" s="385" t="s">
        <v>60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124"/>
      <c r="AJ34" s="66"/>
      <c r="AK34" s="66"/>
      <c r="AL34" s="65"/>
      <c r="AM34" s="65"/>
      <c r="AN34" s="65"/>
      <c r="AO34" s="65"/>
      <c r="AP34" s="65"/>
      <c r="AQ34" s="65"/>
      <c r="AR34" s="73"/>
      <c r="AS34" s="22"/>
      <c r="AT34" s="22"/>
      <c r="AU34" s="93"/>
      <c r="AV34" s="97"/>
      <c r="AW34" s="51"/>
      <c r="AX34" s="52">
        <f>AU34*AW34</f>
        <v>0</v>
      </c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</row>
  </sheetData>
  <sheetProtection selectLockedCells="1" selectUnlockedCells="1"/>
  <mergeCells count="111">
    <mergeCell ref="BA28:BC28"/>
    <mergeCell ref="AY3:AY12"/>
    <mergeCell ref="AY13:BC13"/>
    <mergeCell ref="AY14:AY21"/>
    <mergeCell ref="AY22:AY28"/>
    <mergeCell ref="BA22:BC22"/>
    <mergeCell ref="BA23:BC23"/>
    <mergeCell ref="BA24:BC24"/>
    <mergeCell ref="BA25:BC25"/>
    <mergeCell ref="BA26:BC26"/>
    <mergeCell ref="BA27:BC27"/>
    <mergeCell ref="X25:Z25"/>
    <mergeCell ref="A1:L1"/>
    <mergeCell ref="P1:AD1"/>
    <mergeCell ref="AE24:AG24"/>
    <mergeCell ref="AF23:AG23"/>
    <mergeCell ref="V16:Z16"/>
    <mergeCell ref="O17:O24"/>
    <mergeCell ref="A17:A24"/>
    <mergeCell ref="A2:A4"/>
    <mergeCell ref="AR8:AR18"/>
    <mergeCell ref="AR19:AR26"/>
    <mergeCell ref="H17:H24"/>
    <mergeCell ref="O16:S16"/>
    <mergeCell ref="M25:N25"/>
    <mergeCell ref="C25:E25"/>
    <mergeCell ref="AC17:AC24"/>
    <mergeCell ref="V17:V24"/>
    <mergeCell ref="T25:U25"/>
    <mergeCell ref="O6:O15"/>
    <mergeCell ref="AD2:AG2"/>
    <mergeCell ref="AD4:AG4"/>
    <mergeCell ref="V6:V15"/>
    <mergeCell ref="C27:E27"/>
    <mergeCell ref="J27:L27"/>
    <mergeCell ref="C29:E29"/>
    <mergeCell ref="B2:E2"/>
    <mergeCell ref="V5:Z5"/>
    <mergeCell ref="AC5:AG5"/>
    <mergeCell ref="A5:E5"/>
    <mergeCell ref="H5:L5"/>
    <mergeCell ref="O5:S5"/>
    <mergeCell ref="AD10:AG10"/>
    <mergeCell ref="B4:E4"/>
    <mergeCell ref="I4:L4"/>
    <mergeCell ref="P4:S4"/>
    <mergeCell ref="I2:L2"/>
    <mergeCell ref="P2:S2"/>
    <mergeCell ref="V2:V4"/>
    <mergeCell ref="H2:H4"/>
    <mergeCell ref="W2:Z2"/>
    <mergeCell ref="AC2:AC4"/>
    <mergeCell ref="O2:O4"/>
    <mergeCell ref="W4:Z4"/>
    <mergeCell ref="H25:H31"/>
    <mergeCell ref="J25:L25"/>
    <mergeCell ref="J29:L29"/>
    <mergeCell ref="Q28:S28"/>
    <mergeCell ref="X28:Z28"/>
    <mergeCell ref="Q29:S29"/>
    <mergeCell ref="X29:Z29"/>
    <mergeCell ref="C26:E26"/>
    <mergeCell ref="J26:L26"/>
    <mergeCell ref="Q26:S26"/>
    <mergeCell ref="X26:Z26"/>
    <mergeCell ref="AE26:AG26"/>
    <mergeCell ref="Q25:S25"/>
    <mergeCell ref="AE25:AG25"/>
    <mergeCell ref="AA25:AB25"/>
    <mergeCell ref="AC25:AC31"/>
    <mergeCell ref="F25:G25"/>
    <mergeCell ref="A33:AH33"/>
    <mergeCell ref="AE29:AG29"/>
    <mergeCell ref="C30:E30"/>
    <mergeCell ref="J30:L30"/>
    <mergeCell ref="Q30:S30"/>
    <mergeCell ref="X30:Z30"/>
    <mergeCell ref="AE30:AG30"/>
    <mergeCell ref="O25:O31"/>
    <mergeCell ref="AE28:AG28"/>
    <mergeCell ref="Q27:S27"/>
    <mergeCell ref="A25:A31"/>
    <mergeCell ref="AE27:AG27"/>
    <mergeCell ref="J28:L28"/>
    <mergeCell ref="A34:AH34"/>
    <mergeCell ref="A6:A15"/>
    <mergeCell ref="H6:H15"/>
    <mergeCell ref="H16:L16"/>
    <mergeCell ref="A16:E16"/>
    <mergeCell ref="AC6:AC15"/>
    <mergeCell ref="AC16:AG16"/>
    <mergeCell ref="AM5:AM14"/>
    <mergeCell ref="AM15:AQ15"/>
    <mergeCell ref="AM16:AM23"/>
    <mergeCell ref="AM24:AM30"/>
    <mergeCell ref="AO24:AQ24"/>
    <mergeCell ref="AO25:AQ25"/>
    <mergeCell ref="AO26:AQ26"/>
    <mergeCell ref="AO27:AQ27"/>
    <mergeCell ref="AO28:AQ28"/>
    <mergeCell ref="AO29:AQ29"/>
    <mergeCell ref="AO30:AQ30"/>
    <mergeCell ref="C31:E31"/>
    <mergeCell ref="J31:L31"/>
    <mergeCell ref="Q31:S31"/>
    <mergeCell ref="AE31:AG31"/>
    <mergeCell ref="X31:Z31"/>
    <mergeCell ref="V25:V31"/>
    <mergeCell ref="X27:Z27"/>
    <mergeCell ref="C28:E28"/>
    <mergeCell ref="AH25:AI25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6"/>
  <sheetViews>
    <sheetView view="pageBreakPreview" zoomScale="95" zoomScaleNormal="50" zoomScaleSheetLayoutView="95" zoomScalePageLayoutView="0" workbookViewId="0" topLeftCell="A1">
      <selection activeCell="I19" sqref="I19"/>
    </sheetView>
  </sheetViews>
  <sheetFormatPr defaultColWidth="6.125" defaultRowHeight="22.5" customHeight="1"/>
  <cols>
    <col min="1" max="1" width="3.625" style="67" customWidth="1"/>
    <col min="2" max="2" width="20.50390625" style="68" bestFit="1" customWidth="1"/>
    <col min="3" max="3" width="6.125" style="68" customWidth="1"/>
    <col min="4" max="5" width="5.375" style="68" customWidth="1"/>
    <col min="6" max="6" width="6.125" style="69" customWidth="1"/>
    <col min="7" max="7" width="6.125" style="70" customWidth="1"/>
    <col min="8" max="8" width="3.625" style="67" customWidth="1"/>
    <col min="9" max="9" width="19.25390625" style="68" customWidth="1"/>
    <col min="10" max="10" width="6.125" style="68" customWidth="1"/>
    <col min="11" max="12" width="5.375" style="68" customWidth="1"/>
    <col min="13" max="13" width="5.50390625" style="69" customWidth="1"/>
    <col min="14" max="14" width="8.50390625" style="70" customWidth="1"/>
    <col min="15" max="15" width="3.625" style="67" customWidth="1"/>
    <col min="16" max="16" width="16.125" style="68" customWidth="1"/>
    <col min="17" max="17" width="6.125" style="68" customWidth="1"/>
    <col min="18" max="19" width="5.375" style="68" customWidth="1"/>
    <col min="20" max="20" width="6.125" style="69" customWidth="1"/>
    <col min="21" max="21" width="6.125" style="70" customWidth="1"/>
    <col min="22" max="22" width="3.625" style="71" customWidth="1"/>
    <col min="23" max="23" width="15.625" style="68" customWidth="1"/>
    <col min="24" max="24" width="6.125" style="68" customWidth="1"/>
    <col min="25" max="26" width="5.375" style="68" customWidth="1"/>
    <col min="27" max="27" width="5.875" style="69" customWidth="1"/>
    <col min="28" max="28" width="6.125" style="70" customWidth="1"/>
    <col min="29" max="29" width="3.625" style="67" customWidth="1"/>
    <col min="30" max="30" width="15.25390625" style="68" customWidth="1"/>
    <col min="31" max="31" width="6.125" style="68" customWidth="1"/>
    <col min="32" max="33" width="5.375" style="68" customWidth="1"/>
    <col min="34" max="34" width="6.125" style="72" customWidth="1"/>
    <col min="35" max="35" width="6.125" style="70" customWidth="1"/>
    <col min="36" max="36" width="8.00390625" style="73" bestFit="1" customWidth="1"/>
    <col min="37" max="37" width="6.25390625" style="73" bestFit="1" customWidth="1"/>
    <col min="38" max="43" width="6.125" style="73" customWidth="1"/>
    <col min="44" max="45" width="6.25390625" style="73" bestFit="1" customWidth="1"/>
    <col min="46" max="51" width="6.125" style="73" customWidth="1"/>
    <col min="52" max="52" width="6.25390625" style="73" bestFit="1" customWidth="1"/>
    <col min="53" max="16384" width="6.125" style="73" customWidth="1"/>
  </cols>
  <sheetData>
    <row r="1" spans="1:35" s="92" customFormat="1" ht="30" customHeight="1">
      <c r="A1" s="458" t="str">
        <f>'第二週'!A1</f>
        <v>僑愛國民小學附幼111學年度下學期第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217">
        <f>'第二週'!O1+1</f>
        <v>14</v>
      </c>
      <c r="P1" s="467" t="s">
        <v>203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2">
        <v>72</v>
      </c>
      <c r="AF1" s="462"/>
      <c r="AG1" s="462"/>
      <c r="AH1" s="128"/>
      <c r="AI1" s="129"/>
    </row>
    <row r="2" spans="1:35" s="40" customFormat="1" ht="18.75" customHeight="1">
      <c r="A2" s="464" t="s">
        <v>24</v>
      </c>
      <c r="B2" s="477">
        <f>'第二週'!B2+7</f>
        <v>45061</v>
      </c>
      <c r="C2" s="477"/>
      <c r="D2" s="477"/>
      <c r="E2" s="477"/>
      <c r="F2" s="130"/>
      <c r="G2" s="131"/>
      <c r="H2" s="459" t="s">
        <v>24</v>
      </c>
      <c r="I2" s="460">
        <f>B2+1</f>
        <v>45062</v>
      </c>
      <c r="J2" s="460"/>
      <c r="K2" s="460"/>
      <c r="L2" s="460"/>
      <c r="M2" s="132"/>
      <c r="N2" s="133"/>
      <c r="O2" s="459" t="s">
        <v>24</v>
      </c>
      <c r="P2" s="461">
        <f>I2+1</f>
        <v>45063</v>
      </c>
      <c r="Q2" s="461"/>
      <c r="R2" s="461"/>
      <c r="S2" s="461"/>
      <c r="T2" s="134"/>
      <c r="U2" s="135"/>
      <c r="V2" s="459" t="s">
        <v>24</v>
      </c>
      <c r="W2" s="478">
        <f>P2+1</f>
        <v>45064</v>
      </c>
      <c r="X2" s="478"/>
      <c r="Y2" s="478"/>
      <c r="Z2" s="478"/>
      <c r="AA2" s="136"/>
      <c r="AB2" s="137"/>
      <c r="AC2" s="464" t="s">
        <v>24</v>
      </c>
      <c r="AD2" s="470">
        <f>W2+1</f>
        <v>45065</v>
      </c>
      <c r="AE2" s="470"/>
      <c r="AF2" s="470"/>
      <c r="AG2" s="471"/>
      <c r="AH2" s="138"/>
      <c r="AI2" s="139"/>
    </row>
    <row r="3" spans="1:35" s="40" customFormat="1" ht="18.75" customHeight="1">
      <c r="A3" s="465"/>
      <c r="B3" s="41" t="s">
        <v>89</v>
      </c>
      <c r="C3" s="41" t="s">
        <v>26</v>
      </c>
      <c r="D3" s="42" t="s">
        <v>27</v>
      </c>
      <c r="E3" s="42"/>
      <c r="F3" s="43" t="s">
        <v>29</v>
      </c>
      <c r="G3" s="41" t="s">
        <v>30</v>
      </c>
      <c r="H3" s="40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1" t="s">
        <v>30</v>
      </c>
      <c r="O3" s="404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1" t="s">
        <v>30</v>
      </c>
      <c r="V3" s="404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465"/>
      <c r="AD3" s="41" t="s">
        <v>25</v>
      </c>
      <c r="AE3" s="41" t="s">
        <v>26</v>
      </c>
      <c r="AF3" s="48" t="s">
        <v>27</v>
      </c>
      <c r="AG3" s="140" t="s">
        <v>28</v>
      </c>
      <c r="AH3" s="141" t="s">
        <v>29</v>
      </c>
      <c r="AI3" s="142" t="s">
        <v>30</v>
      </c>
    </row>
    <row r="4" spans="1:35" s="50" customFormat="1" ht="18.75" customHeight="1" hidden="1">
      <c r="A4" s="465"/>
      <c r="B4" s="403" t="s">
        <v>31</v>
      </c>
      <c r="C4" s="403"/>
      <c r="D4" s="403"/>
      <c r="E4" s="403"/>
      <c r="F4" s="45"/>
      <c r="G4" s="46"/>
      <c r="H4" s="404"/>
      <c r="I4" s="403" t="s">
        <v>32</v>
      </c>
      <c r="J4" s="403"/>
      <c r="K4" s="403"/>
      <c r="L4" s="403"/>
      <c r="M4" s="45"/>
      <c r="N4" s="46"/>
      <c r="O4" s="404"/>
      <c r="P4" s="403" t="s">
        <v>33</v>
      </c>
      <c r="Q4" s="403"/>
      <c r="R4" s="403"/>
      <c r="S4" s="403"/>
      <c r="T4" s="43"/>
      <c r="U4" s="42"/>
      <c r="V4" s="404"/>
      <c r="W4" s="403" t="s">
        <v>34</v>
      </c>
      <c r="X4" s="403"/>
      <c r="Y4" s="403"/>
      <c r="Z4" s="403"/>
      <c r="AA4" s="45"/>
      <c r="AB4" s="47"/>
      <c r="AC4" s="466"/>
      <c r="AD4" s="472" t="s">
        <v>35</v>
      </c>
      <c r="AE4" s="472"/>
      <c r="AF4" s="472"/>
      <c r="AG4" s="473"/>
      <c r="AH4" s="143"/>
      <c r="AI4" s="46"/>
    </row>
    <row r="5" spans="1:43" s="50" customFormat="1" ht="18.75" customHeight="1">
      <c r="A5" s="463" t="s">
        <v>36</v>
      </c>
      <c r="B5" s="378"/>
      <c r="C5" s="378"/>
      <c r="D5" s="378"/>
      <c r="E5" s="378"/>
      <c r="F5" s="87"/>
      <c r="G5" s="88"/>
      <c r="H5" s="386" t="s">
        <v>36</v>
      </c>
      <c r="I5" s="378"/>
      <c r="J5" s="378"/>
      <c r="K5" s="378"/>
      <c r="L5" s="378"/>
      <c r="M5" s="87"/>
      <c r="N5" s="88"/>
      <c r="O5" s="386" t="s">
        <v>36</v>
      </c>
      <c r="P5" s="378"/>
      <c r="Q5" s="378"/>
      <c r="R5" s="378"/>
      <c r="S5" s="378"/>
      <c r="T5" s="87"/>
      <c r="U5" s="88"/>
      <c r="V5" s="386" t="s">
        <v>36</v>
      </c>
      <c r="W5" s="378"/>
      <c r="X5" s="378"/>
      <c r="Y5" s="378"/>
      <c r="Z5" s="378"/>
      <c r="AA5" s="87"/>
      <c r="AB5" s="89"/>
      <c r="AC5" s="474" t="s">
        <v>36</v>
      </c>
      <c r="AD5" s="475"/>
      <c r="AE5" s="475"/>
      <c r="AF5" s="475"/>
      <c r="AG5" s="476"/>
      <c r="AH5" s="45"/>
      <c r="AI5" s="46"/>
      <c r="AM5" s="375" t="s">
        <v>103</v>
      </c>
      <c r="AN5" s="22" t="s">
        <v>101</v>
      </c>
      <c r="AO5" s="22">
        <v>16</v>
      </c>
      <c r="AP5" s="75">
        <f>ROUND($AE$1*AO5/1000,1)</f>
        <v>1.2</v>
      </c>
      <c r="AQ5" s="74" t="s">
        <v>0</v>
      </c>
    </row>
    <row r="6" spans="1:55" s="50" customFormat="1" ht="18.75" customHeight="1">
      <c r="A6" s="372" t="s">
        <v>284</v>
      </c>
      <c r="B6" s="56" t="s">
        <v>283</v>
      </c>
      <c r="C6" s="253">
        <v>1</v>
      </c>
      <c r="D6" s="253">
        <f>ROUND($AE$1*C6,0)</f>
        <v>72</v>
      </c>
      <c r="E6" s="252" t="s">
        <v>15</v>
      </c>
      <c r="F6" s="324"/>
      <c r="G6" s="58">
        <f aca="true" t="shared" si="0" ref="G6:G24">D6*F6</f>
        <v>0</v>
      </c>
      <c r="H6" s="424" t="s">
        <v>169</v>
      </c>
      <c r="I6" s="253" t="s">
        <v>192</v>
      </c>
      <c r="J6" s="253">
        <v>0.8</v>
      </c>
      <c r="K6" s="253">
        <f>ROUND($AE$1*J6/7,0)</f>
        <v>8</v>
      </c>
      <c r="L6" s="252" t="s">
        <v>20</v>
      </c>
      <c r="M6" s="324"/>
      <c r="N6" s="58">
        <f aca="true" t="shared" si="1" ref="N6:N24">K6*M6</f>
        <v>0</v>
      </c>
      <c r="O6" s="454" t="s">
        <v>281</v>
      </c>
      <c r="P6" s="254" t="s">
        <v>277</v>
      </c>
      <c r="Q6" s="253">
        <v>1</v>
      </c>
      <c r="R6" s="253">
        <f>ROUND($AE$1*Q6,0)</f>
        <v>72</v>
      </c>
      <c r="S6" s="252" t="s">
        <v>15</v>
      </c>
      <c r="T6" s="324"/>
      <c r="U6" s="58">
        <f aca="true" t="shared" si="2" ref="U6:U24">R6*T6</f>
        <v>0</v>
      </c>
      <c r="V6" s="424" t="s">
        <v>286</v>
      </c>
      <c r="W6" s="254" t="s">
        <v>70</v>
      </c>
      <c r="X6" s="254">
        <v>2</v>
      </c>
      <c r="Y6" s="254">
        <f>ROUND($AE$1*X6/1000,1)</f>
        <v>0.1</v>
      </c>
      <c r="Z6" s="254" t="s">
        <v>2</v>
      </c>
      <c r="AA6" s="324"/>
      <c r="AB6" s="58">
        <f aca="true" t="shared" si="3" ref="AB6:AB24">Y6*AA6</f>
        <v>0</v>
      </c>
      <c r="AC6" s="424" t="s">
        <v>146</v>
      </c>
      <c r="AD6" s="254" t="s">
        <v>285</v>
      </c>
      <c r="AE6" s="254">
        <v>21.5</v>
      </c>
      <c r="AF6" s="252">
        <f>ROUND($AE$1*AE6/1000,1)</f>
        <v>1.5</v>
      </c>
      <c r="AG6" s="255" t="s">
        <v>0</v>
      </c>
      <c r="AH6" s="324"/>
      <c r="AI6" s="58">
        <f>AF6*AH6</f>
        <v>0</v>
      </c>
      <c r="AM6" s="376"/>
      <c r="AN6" s="22" t="s">
        <v>70</v>
      </c>
      <c r="AO6" s="22">
        <v>1.5</v>
      </c>
      <c r="AP6" s="75">
        <f aca="true" t="shared" si="4" ref="AP6:AP11">ROUND($AE$1*AO6/1000,1)</f>
        <v>0.1</v>
      </c>
      <c r="AQ6" s="74" t="s">
        <v>0</v>
      </c>
      <c r="AY6" s="454" t="s">
        <v>150</v>
      </c>
      <c r="AZ6" s="254" t="s">
        <v>199</v>
      </c>
      <c r="BA6" s="253">
        <v>56</v>
      </c>
      <c r="BB6" s="253">
        <f>ROUND($AE$1*BA6/1000,1)</f>
        <v>4</v>
      </c>
      <c r="BC6" s="252" t="s">
        <v>0</v>
      </c>
    </row>
    <row r="7" spans="1:55" s="50" customFormat="1" ht="18.75" customHeight="1">
      <c r="A7" s="373"/>
      <c r="B7" s="253"/>
      <c r="C7" s="253"/>
      <c r="D7" s="253"/>
      <c r="E7" s="253"/>
      <c r="F7" s="324"/>
      <c r="G7" s="58"/>
      <c r="H7" s="425"/>
      <c r="I7" s="253" t="s">
        <v>186</v>
      </c>
      <c r="J7" s="253">
        <v>0.8</v>
      </c>
      <c r="K7" s="253">
        <f>ROUND($AE$1*J7/12,0)</f>
        <v>5</v>
      </c>
      <c r="L7" s="252" t="s">
        <v>22</v>
      </c>
      <c r="M7" s="324"/>
      <c r="N7" s="58">
        <f t="shared" si="1"/>
        <v>0</v>
      </c>
      <c r="O7" s="454"/>
      <c r="P7" s="253" t="s">
        <v>278</v>
      </c>
      <c r="Q7" s="253">
        <v>1</v>
      </c>
      <c r="R7" s="253">
        <f>ROUND($AE$1*Q7,0)</f>
        <v>72</v>
      </c>
      <c r="S7" s="252" t="s">
        <v>15</v>
      </c>
      <c r="T7" s="324"/>
      <c r="U7" s="58"/>
      <c r="V7" s="425"/>
      <c r="W7" s="254" t="s">
        <v>168</v>
      </c>
      <c r="X7" s="254">
        <v>30</v>
      </c>
      <c r="Y7" s="254">
        <v>2</v>
      </c>
      <c r="Z7" s="254" t="s">
        <v>20</v>
      </c>
      <c r="AA7" s="324"/>
      <c r="AB7" s="58">
        <f t="shared" si="3"/>
        <v>0</v>
      </c>
      <c r="AC7" s="425"/>
      <c r="AD7" s="254" t="s">
        <v>79</v>
      </c>
      <c r="AE7" s="254">
        <v>0.5</v>
      </c>
      <c r="AF7" s="252" t="s">
        <v>21</v>
      </c>
      <c r="AG7" s="255" t="s">
        <v>0</v>
      </c>
      <c r="AH7" s="324"/>
      <c r="AI7" s="58"/>
      <c r="AM7" s="376"/>
      <c r="AN7" s="151" t="s">
        <v>23</v>
      </c>
      <c r="AO7" s="146">
        <v>20</v>
      </c>
      <c r="AP7" s="75">
        <f t="shared" si="4"/>
        <v>1.4</v>
      </c>
      <c r="AQ7" s="74" t="s">
        <v>0</v>
      </c>
      <c r="AY7" s="454"/>
      <c r="AZ7" s="253" t="s">
        <v>164</v>
      </c>
      <c r="BA7" s="253">
        <v>15</v>
      </c>
      <c r="BB7" s="252" t="s">
        <v>135</v>
      </c>
      <c r="BC7" s="252" t="s">
        <v>0</v>
      </c>
    </row>
    <row r="8" spans="1:55" s="50" customFormat="1" ht="18.75" customHeight="1">
      <c r="A8" s="373"/>
      <c r="B8" s="253"/>
      <c r="C8" s="253"/>
      <c r="D8" s="253"/>
      <c r="E8" s="253"/>
      <c r="F8" s="324"/>
      <c r="G8" s="58">
        <f t="shared" si="0"/>
        <v>0</v>
      </c>
      <c r="H8" s="425"/>
      <c r="I8" s="253" t="s">
        <v>154</v>
      </c>
      <c r="J8" s="253">
        <v>12</v>
      </c>
      <c r="K8" s="253">
        <f>ROUND($AE$1*J8/375,0)</f>
        <v>2</v>
      </c>
      <c r="L8" s="252" t="s">
        <v>48</v>
      </c>
      <c r="M8" s="324"/>
      <c r="N8" s="58">
        <f t="shared" si="1"/>
        <v>0</v>
      </c>
      <c r="O8" s="454"/>
      <c r="P8" s="253" t="s">
        <v>279</v>
      </c>
      <c r="Q8" s="253">
        <v>1</v>
      </c>
      <c r="R8" s="253">
        <f>ROUND($AE$1*Q8,0)</f>
        <v>72</v>
      </c>
      <c r="S8" s="252" t="s">
        <v>15</v>
      </c>
      <c r="T8" s="324"/>
      <c r="U8" s="58">
        <f t="shared" si="2"/>
        <v>0</v>
      </c>
      <c r="V8" s="425"/>
      <c r="W8" s="254" t="s">
        <v>254</v>
      </c>
      <c r="X8" s="254">
        <v>20</v>
      </c>
      <c r="Y8" s="254">
        <f>ROUND($AE$1*X8/1000,1)</f>
        <v>1.4</v>
      </c>
      <c r="Z8" s="254" t="s">
        <v>2</v>
      </c>
      <c r="AA8" s="324"/>
      <c r="AB8" s="58">
        <f t="shared" si="3"/>
        <v>0</v>
      </c>
      <c r="AC8" s="425"/>
      <c r="AD8" s="254" t="s">
        <v>94</v>
      </c>
      <c r="AE8" s="254">
        <v>39</v>
      </c>
      <c r="AF8" s="252">
        <f>ROUND($AE$1*AE8/1000,1)</f>
        <v>2.8</v>
      </c>
      <c r="AG8" s="255" t="s">
        <v>0</v>
      </c>
      <c r="AH8" s="324"/>
      <c r="AI8" s="58">
        <f aca="true" t="shared" si="5" ref="AI8:AI21">AF8*AH8</f>
        <v>0</v>
      </c>
      <c r="AM8" s="376"/>
      <c r="AN8" s="22" t="s">
        <v>68</v>
      </c>
      <c r="AO8" s="22">
        <v>5</v>
      </c>
      <c r="AP8" s="75">
        <f t="shared" si="4"/>
        <v>0.4</v>
      </c>
      <c r="AQ8" s="75" t="s">
        <v>0</v>
      </c>
      <c r="AY8" s="454"/>
      <c r="AZ8" s="253" t="s">
        <v>151</v>
      </c>
      <c r="BA8" s="253">
        <v>16</v>
      </c>
      <c r="BB8" s="253">
        <f>ROUND($AE$1*BA8/1000,1)</f>
        <v>1.2</v>
      </c>
      <c r="BC8" s="252" t="s">
        <v>0</v>
      </c>
    </row>
    <row r="9" spans="1:55" s="50" customFormat="1" ht="18.75" customHeight="1">
      <c r="A9" s="373"/>
      <c r="B9" s="56" t="s">
        <v>274</v>
      </c>
      <c r="C9" s="343">
        <v>128</v>
      </c>
      <c r="D9" s="252">
        <f>ROUND($AE$1*C9/1000,0)</f>
        <v>9</v>
      </c>
      <c r="E9" s="252" t="s">
        <v>19</v>
      </c>
      <c r="F9" s="324"/>
      <c r="G9" s="58"/>
      <c r="H9" s="425"/>
      <c r="I9" s="344" t="s">
        <v>194</v>
      </c>
      <c r="J9" s="345"/>
      <c r="K9" s="93">
        <v>2</v>
      </c>
      <c r="L9" s="147" t="s">
        <v>20</v>
      </c>
      <c r="M9" s="324"/>
      <c r="N9" s="58">
        <f t="shared" si="1"/>
        <v>0</v>
      </c>
      <c r="O9" s="454"/>
      <c r="P9" s="253" t="s">
        <v>280</v>
      </c>
      <c r="Q9" s="253"/>
      <c r="R9" s="253"/>
      <c r="S9" s="252"/>
      <c r="T9" s="324"/>
      <c r="U9" s="58">
        <f t="shared" si="2"/>
        <v>0</v>
      </c>
      <c r="V9" s="425"/>
      <c r="W9" s="254" t="s">
        <v>38</v>
      </c>
      <c r="X9" s="254">
        <v>20</v>
      </c>
      <c r="Y9" s="254">
        <f>ROUND($AE$1*X9/1000,1)</f>
        <v>1.4</v>
      </c>
      <c r="Z9" s="254" t="s">
        <v>2</v>
      </c>
      <c r="AA9" s="324"/>
      <c r="AB9" s="58">
        <f t="shared" si="3"/>
        <v>0</v>
      </c>
      <c r="AC9" s="425"/>
      <c r="AD9" s="254" t="s">
        <v>189</v>
      </c>
      <c r="AE9" s="254">
        <v>19</v>
      </c>
      <c r="AF9" s="252">
        <f>ROUND($AE$1*AE9/250,1)</f>
        <v>5.5</v>
      </c>
      <c r="AG9" s="255" t="s">
        <v>20</v>
      </c>
      <c r="AH9" s="324"/>
      <c r="AI9" s="58">
        <f t="shared" si="5"/>
        <v>0</v>
      </c>
      <c r="AM9" s="376"/>
      <c r="AN9" s="22" t="s">
        <v>100</v>
      </c>
      <c r="AO9" s="22">
        <v>5</v>
      </c>
      <c r="AP9" s="75">
        <f t="shared" si="4"/>
        <v>0.4</v>
      </c>
      <c r="AQ9" s="75" t="s">
        <v>0</v>
      </c>
      <c r="AY9" s="454"/>
      <c r="AZ9" s="253" t="s">
        <v>63</v>
      </c>
      <c r="BA9" s="253">
        <v>8</v>
      </c>
      <c r="BB9" s="253">
        <f>ROUND($AE$1*BA9/1000,1)</f>
        <v>0.6</v>
      </c>
      <c r="BC9" s="252" t="s">
        <v>0</v>
      </c>
    </row>
    <row r="10" spans="1:55" s="50" customFormat="1" ht="18.75" customHeight="1">
      <c r="A10" s="373"/>
      <c r="B10" s="253" t="s">
        <v>45</v>
      </c>
      <c r="C10" s="253">
        <v>50</v>
      </c>
      <c r="D10" s="253">
        <f>ROUND($AE$1*C10/1000,1)</f>
        <v>3.6</v>
      </c>
      <c r="E10" s="252" t="s">
        <v>0</v>
      </c>
      <c r="F10" s="324"/>
      <c r="G10" s="58">
        <f t="shared" si="0"/>
        <v>0</v>
      </c>
      <c r="H10" s="425"/>
      <c r="I10" s="148"/>
      <c r="J10" s="254"/>
      <c r="K10" s="252"/>
      <c r="L10" s="252"/>
      <c r="M10" s="324"/>
      <c r="N10" s="58">
        <f t="shared" si="1"/>
        <v>0</v>
      </c>
      <c r="O10" s="454"/>
      <c r="P10" s="253"/>
      <c r="Q10" s="253"/>
      <c r="R10" s="253"/>
      <c r="S10" s="252"/>
      <c r="T10" s="324"/>
      <c r="U10" s="58">
        <f t="shared" si="2"/>
        <v>0</v>
      </c>
      <c r="V10" s="425"/>
      <c r="W10" s="254" t="s">
        <v>1</v>
      </c>
      <c r="X10" s="254">
        <v>20</v>
      </c>
      <c r="Y10" s="254">
        <f>ROUND($AE$1*X10/1000,1)</f>
        <v>1.4</v>
      </c>
      <c r="Z10" s="254" t="s">
        <v>2</v>
      </c>
      <c r="AA10" s="324"/>
      <c r="AB10" s="58">
        <f t="shared" si="3"/>
        <v>0</v>
      </c>
      <c r="AC10" s="425"/>
      <c r="AD10" s="254" t="s">
        <v>38</v>
      </c>
      <c r="AE10" s="254">
        <v>10</v>
      </c>
      <c r="AF10" s="252">
        <f>ROUND($AE$1*AE10/1000,1)</f>
        <v>0.7</v>
      </c>
      <c r="AG10" s="255" t="s">
        <v>0</v>
      </c>
      <c r="AH10" s="324"/>
      <c r="AI10" s="58">
        <f t="shared" si="5"/>
        <v>0</v>
      </c>
      <c r="AM10" s="376"/>
      <c r="AN10" s="22" t="s">
        <v>102</v>
      </c>
      <c r="AO10" s="22">
        <v>50</v>
      </c>
      <c r="AP10" s="75">
        <f t="shared" si="4"/>
        <v>3.6</v>
      </c>
      <c r="AQ10" s="75" t="s">
        <v>0</v>
      </c>
      <c r="AR10" s="22">
        <v>62</v>
      </c>
      <c r="AS10" s="75">
        <v>0.9</v>
      </c>
      <c r="AT10" s="74" t="s">
        <v>0</v>
      </c>
      <c r="AY10" s="454"/>
      <c r="AZ10" s="253" t="s">
        <v>129</v>
      </c>
      <c r="BA10" s="253">
        <v>8</v>
      </c>
      <c r="BB10" s="253">
        <f>ROUND($AE$1*BA10/1000,1)</f>
        <v>0.6</v>
      </c>
      <c r="BC10" s="252" t="s">
        <v>0</v>
      </c>
    </row>
    <row r="11" spans="1:55" s="50" customFormat="1" ht="18.75" customHeight="1">
      <c r="A11" s="373"/>
      <c r="B11" s="253"/>
      <c r="C11" s="253"/>
      <c r="D11" s="253"/>
      <c r="E11" s="252"/>
      <c r="F11" s="324"/>
      <c r="G11" s="58">
        <f t="shared" si="0"/>
        <v>0</v>
      </c>
      <c r="H11" s="425"/>
      <c r="I11" s="148" t="s">
        <v>193</v>
      </c>
      <c r="J11" s="78">
        <v>35</v>
      </c>
      <c r="K11" s="253">
        <f>ROUND($AE$1*J11/1000,0)</f>
        <v>3</v>
      </c>
      <c r="L11" s="78" t="s">
        <v>48</v>
      </c>
      <c r="M11" s="324"/>
      <c r="N11" s="58">
        <f t="shared" si="1"/>
        <v>0</v>
      </c>
      <c r="O11" s="454"/>
      <c r="P11" s="253"/>
      <c r="Q11" s="253"/>
      <c r="R11" s="253"/>
      <c r="S11" s="252"/>
      <c r="T11" s="324"/>
      <c r="U11" s="58">
        <f t="shared" si="2"/>
        <v>0</v>
      </c>
      <c r="V11" s="425"/>
      <c r="W11" s="346" t="s">
        <v>204</v>
      </c>
      <c r="X11" s="254"/>
      <c r="Y11" s="253"/>
      <c r="Z11" s="252"/>
      <c r="AA11" s="324"/>
      <c r="AB11" s="58"/>
      <c r="AC11" s="425"/>
      <c r="AD11" s="254" t="s">
        <v>62</v>
      </c>
      <c r="AE11" s="254">
        <v>3.5</v>
      </c>
      <c r="AF11" s="252">
        <f>ROUND($AE$1*AE11/1000,1)</f>
        <v>0.3</v>
      </c>
      <c r="AG11" s="255" t="s">
        <v>0</v>
      </c>
      <c r="AH11" s="324"/>
      <c r="AI11" s="58">
        <f t="shared" si="5"/>
        <v>0</v>
      </c>
      <c r="AM11" s="376"/>
      <c r="AN11" s="22" t="s">
        <v>1</v>
      </c>
      <c r="AO11" s="22">
        <v>20</v>
      </c>
      <c r="AP11" s="75">
        <f t="shared" si="4"/>
        <v>1.4</v>
      </c>
      <c r="AQ11" s="75" t="s">
        <v>0</v>
      </c>
      <c r="AR11" s="22">
        <v>23</v>
      </c>
      <c r="AS11" s="75">
        <v>1.5</v>
      </c>
      <c r="AT11" s="74" t="s">
        <v>0</v>
      </c>
      <c r="AY11" s="454"/>
      <c r="AZ11" s="253" t="s">
        <v>152</v>
      </c>
      <c r="BA11" s="253">
        <v>33</v>
      </c>
      <c r="BB11" s="253">
        <f>ROUND($AE$1*BA11/1000,1)</f>
        <v>2.4</v>
      </c>
      <c r="BC11" s="252" t="s">
        <v>0</v>
      </c>
    </row>
    <row r="12" spans="1:55" s="40" customFormat="1" ht="18.75" customHeight="1">
      <c r="A12" s="373"/>
      <c r="B12" s="253"/>
      <c r="C12" s="253"/>
      <c r="D12" s="253"/>
      <c r="E12" s="253"/>
      <c r="F12" s="324"/>
      <c r="G12" s="58">
        <f t="shared" si="0"/>
        <v>0</v>
      </c>
      <c r="H12" s="425"/>
      <c r="I12" s="253" t="s">
        <v>238</v>
      </c>
      <c r="J12" s="78">
        <v>78</v>
      </c>
      <c r="K12" s="253">
        <f>ROUND($AE$1*J12/1000,0)</f>
        <v>6</v>
      </c>
      <c r="L12" s="78" t="s">
        <v>48</v>
      </c>
      <c r="M12" s="324"/>
      <c r="N12" s="58">
        <f t="shared" si="1"/>
        <v>0</v>
      </c>
      <c r="O12" s="454"/>
      <c r="P12" s="253"/>
      <c r="Q12" s="253"/>
      <c r="R12" s="253"/>
      <c r="S12" s="252"/>
      <c r="T12" s="324"/>
      <c r="U12" s="58">
        <f t="shared" si="2"/>
        <v>0</v>
      </c>
      <c r="V12" s="425"/>
      <c r="W12" s="254"/>
      <c r="X12" s="254"/>
      <c r="Y12" s="253"/>
      <c r="Z12" s="252"/>
      <c r="AA12" s="324"/>
      <c r="AB12" s="58"/>
      <c r="AC12" s="425"/>
      <c r="AD12" s="254" t="s">
        <v>247</v>
      </c>
      <c r="AE12" s="254">
        <v>3.5</v>
      </c>
      <c r="AF12" s="252">
        <f>ROUND($AE$1*AE12/1000,1)</f>
        <v>0.3</v>
      </c>
      <c r="AG12" s="255" t="s">
        <v>0</v>
      </c>
      <c r="AH12" s="324"/>
      <c r="AI12" s="58">
        <f t="shared" si="5"/>
        <v>0</v>
      </c>
      <c r="AM12" s="376"/>
      <c r="AN12" s="22"/>
      <c r="AO12" s="22"/>
      <c r="AP12" s="75"/>
      <c r="AQ12" s="75"/>
      <c r="AR12" s="22">
        <v>1.5</v>
      </c>
      <c r="AS12" s="75">
        <v>0.1</v>
      </c>
      <c r="AT12" s="74" t="s">
        <v>0</v>
      </c>
      <c r="AY12" s="454"/>
      <c r="AZ12" s="253" t="s">
        <v>120</v>
      </c>
      <c r="BA12" s="253">
        <v>15</v>
      </c>
      <c r="BB12" s="253">
        <f>ROUND($AE$1*BA12/300,0)</f>
        <v>4</v>
      </c>
      <c r="BC12" s="252" t="s">
        <v>113</v>
      </c>
    </row>
    <row r="13" spans="1:55" s="50" customFormat="1" ht="18.75" customHeight="1">
      <c r="A13" s="373"/>
      <c r="B13" s="253"/>
      <c r="C13" s="253"/>
      <c r="D13" s="253"/>
      <c r="E13" s="252"/>
      <c r="F13" s="324"/>
      <c r="G13" s="58">
        <f t="shared" si="0"/>
        <v>0</v>
      </c>
      <c r="H13" s="425"/>
      <c r="I13" s="253"/>
      <c r="J13" s="253"/>
      <c r="K13" s="252"/>
      <c r="L13" s="252"/>
      <c r="M13" s="324"/>
      <c r="N13" s="58">
        <f t="shared" si="1"/>
        <v>0</v>
      </c>
      <c r="O13" s="454"/>
      <c r="P13" s="254"/>
      <c r="Q13" s="254"/>
      <c r="R13" s="253"/>
      <c r="S13" s="252"/>
      <c r="T13" s="324"/>
      <c r="U13" s="58">
        <f t="shared" si="2"/>
        <v>0</v>
      </c>
      <c r="V13" s="425"/>
      <c r="W13" s="338" t="s">
        <v>238</v>
      </c>
      <c r="X13" s="22">
        <v>78</v>
      </c>
      <c r="Y13" s="75" t="s">
        <v>21</v>
      </c>
      <c r="Z13" s="74" t="s">
        <v>48</v>
      </c>
      <c r="AA13" s="324"/>
      <c r="AB13" s="58"/>
      <c r="AC13" s="425"/>
      <c r="AD13" s="254" t="s">
        <v>147</v>
      </c>
      <c r="AE13" s="254">
        <v>1.5</v>
      </c>
      <c r="AF13" s="252" t="s">
        <v>21</v>
      </c>
      <c r="AG13" s="255" t="s">
        <v>0</v>
      </c>
      <c r="AH13" s="324"/>
      <c r="AI13" s="58"/>
      <c r="AM13" s="376"/>
      <c r="AN13" s="80"/>
      <c r="AO13" s="59"/>
      <c r="AP13" s="75"/>
      <c r="AQ13" s="75"/>
      <c r="AR13" s="146">
        <v>18</v>
      </c>
      <c r="AS13" s="75">
        <v>1.5</v>
      </c>
      <c r="AT13" s="74" t="s">
        <v>0</v>
      </c>
      <c r="AY13" s="454"/>
      <c r="AZ13" s="254" t="s">
        <v>116</v>
      </c>
      <c r="BA13" s="254">
        <v>8</v>
      </c>
      <c r="BB13" s="253">
        <f>ROUND($AE$1*BA13/1000,1)</f>
        <v>0.6</v>
      </c>
      <c r="BC13" s="252" t="s">
        <v>0</v>
      </c>
    </row>
    <row r="14" spans="1:55" s="50" customFormat="1" ht="18.75" customHeight="1">
      <c r="A14" s="373"/>
      <c r="B14" s="148"/>
      <c r="C14" s="148"/>
      <c r="D14" s="93"/>
      <c r="E14" s="93"/>
      <c r="F14" s="324"/>
      <c r="G14" s="58">
        <f t="shared" si="0"/>
        <v>0</v>
      </c>
      <c r="H14" s="425"/>
      <c r="I14" s="254"/>
      <c r="J14" s="254"/>
      <c r="K14" s="252"/>
      <c r="L14" s="252"/>
      <c r="M14" s="324"/>
      <c r="N14" s="58">
        <f t="shared" si="1"/>
        <v>0</v>
      </c>
      <c r="O14" s="454"/>
      <c r="P14" s="254"/>
      <c r="Q14" s="254"/>
      <c r="R14" s="253"/>
      <c r="S14" s="252"/>
      <c r="T14" s="324"/>
      <c r="U14" s="58">
        <f t="shared" si="2"/>
        <v>0</v>
      </c>
      <c r="V14" s="425"/>
      <c r="W14" s="339" t="s">
        <v>269</v>
      </c>
      <c r="X14" s="22"/>
      <c r="Y14" s="93"/>
      <c r="Z14" s="97"/>
      <c r="AA14" s="324"/>
      <c r="AB14" s="58">
        <f t="shared" si="3"/>
        <v>0</v>
      </c>
      <c r="AC14" s="425"/>
      <c r="AD14" s="254" t="s">
        <v>148</v>
      </c>
      <c r="AE14" s="254">
        <v>1</v>
      </c>
      <c r="AF14" s="252">
        <v>1</v>
      </c>
      <c r="AG14" s="255" t="s">
        <v>149</v>
      </c>
      <c r="AH14" s="324"/>
      <c r="AI14" s="58">
        <f t="shared" si="5"/>
        <v>0</v>
      </c>
      <c r="AM14" s="376"/>
      <c r="AN14" s="59"/>
      <c r="AO14" s="59"/>
      <c r="AP14" s="75"/>
      <c r="AQ14" s="75"/>
      <c r="AR14" s="53">
        <v>19</v>
      </c>
      <c r="AS14" s="75">
        <v>1.2</v>
      </c>
      <c r="AT14" s="75" t="s">
        <v>0</v>
      </c>
      <c r="AY14" s="454"/>
      <c r="AZ14" s="254" t="s">
        <v>186</v>
      </c>
      <c r="BA14" s="254">
        <v>8</v>
      </c>
      <c r="BB14" s="253">
        <f>ROUND($AE$1*BA14/1000,1)</f>
        <v>0.6</v>
      </c>
      <c r="BC14" s="252" t="s">
        <v>0</v>
      </c>
    </row>
    <row r="15" spans="1:55" s="50" customFormat="1" ht="18.75" customHeight="1">
      <c r="A15" s="373"/>
      <c r="B15" s="253"/>
      <c r="C15" s="253"/>
      <c r="D15" s="253"/>
      <c r="E15" s="252"/>
      <c r="F15" s="324"/>
      <c r="G15" s="58">
        <f t="shared" si="0"/>
        <v>0</v>
      </c>
      <c r="H15" s="426"/>
      <c r="I15" s="254"/>
      <c r="J15" s="254"/>
      <c r="K15" s="252"/>
      <c r="L15" s="252"/>
      <c r="M15" s="324"/>
      <c r="N15" s="58">
        <f t="shared" si="1"/>
        <v>0</v>
      </c>
      <c r="O15" s="454"/>
      <c r="P15" s="254"/>
      <c r="Q15" s="253"/>
      <c r="R15" s="252"/>
      <c r="S15" s="252"/>
      <c r="T15" s="324"/>
      <c r="U15" s="58"/>
      <c r="V15" s="425"/>
      <c r="W15" s="253" t="s">
        <v>193</v>
      </c>
      <c r="X15" s="253">
        <v>35</v>
      </c>
      <c r="Y15" s="253">
        <f>ROUND($AE$1*X15/1000,0)</f>
        <v>3</v>
      </c>
      <c r="Z15" s="58" t="s">
        <v>19</v>
      </c>
      <c r="AA15" s="324"/>
      <c r="AB15" s="58">
        <f t="shared" si="3"/>
        <v>0</v>
      </c>
      <c r="AC15" s="425"/>
      <c r="AD15" s="254"/>
      <c r="AE15" s="254"/>
      <c r="AF15" s="252"/>
      <c r="AG15" s="255"/>
      <c r="AH15" s="324"/>
      <c r="AI15" s="58">
        <f t="shared" si="5"/>
        <v>0</v>
      </c>
      <c r="AM15" s="437"/>
      <c r="AN15" s="59"/>
      <c r="AO15" s="59"/>
      <c r="AP15" s="75"/>
      <c r="AQ15" s="75"/>
      <c r="AR15" s="22"/>
      <c r="AS15" s="75">
        <v>0.5</v>
      </c>
      <c r="AT15" s="75" t="s">
        <v>0</v>
      </c>
      <c r="AY15" s="454"/>
      <c r="AZ15" s="254" t="s">
        <v>153</v>
      </c>
      <c r="BA15" s="253">
        <v>3.5</v>
      </c>
      <c r="BB15" s="252" t="s">
        <v>135</v>
      </c>
      <c r="BC15" s="252" t="s">
        <v>0</v>
      </c>
    </row>
    <row r="16" spans="1:55" s="50" customFormat="1" ht="18.75" customHeight="1">
      <c r="A16" s="374" t="s">
        <v>39</v>
      </c>
      <c r="B16" s="374"/>
      <c r="C16" s="374"/>
      <c r="D16" s="374"/>
      <c r="E16" s="374"/>
      <c r="F16" s="249"/>
      <c r="G16" s="250"/>
      <c r="H16" s="469" t="s">
        <v>39</v>
      </c>
      <c r="I16" s="378"/>
      <c r="J16" s="378"/>
      <c r="K16" s="378"/>
      <c r="L16" s="436"/>
      <c r="M16" s="249"/>
      <c r="N16" s="250"/>
      <c r="O16" s="374"/>
      <c r="P16" s="374"/>
      <c r="Q16" s="374"/>
      <c r="R16" s="374"/>
      <c r="S16" s="417"/>
      <c r="T16" s="249"/>
      <c r="U16" s="250"/>
      <c r="V16" s="374" t="s">
        <v>39</v>
      </c>
      <c r="W16" s="374"/>
      <c r="X16" s="374"/>
      <c r="Y16" s="374"/>
      <c r="Z16" s="374"/>
      <c r="AA16" s="249"/>
      <c r="AB16" s="250"/>
      <c r="AC16" s="374" t="s">
        <v>39</v>
      </c>
      <c r="AD16" s="374"/>
      <c r="AE16" s="374"/>
      <c r="AF16" s="374"/>
      <c r="AG16" s="374"/>
      <c r="AH16" s="249"/>
      <c r="AI16" s="250"/>
      <c r="AM16" s="362" t="s">
        <v>73</v>
      </c>
      <c r="AN16" s="22" t="s">
        <v>12</v>
      </c>
      <c r="AO16" s="22">
        <v>150</v>
      </c>
      <c r="AP16" s="75">
        <v>4</v>
      </c>
      <c r="AQ16" s="74" t="s">
        <v>48</v>
      </c>
      <c r="AR16" s="22"/>
      <c r="AS16" s="75"/>
      <c r="AT16" s="75"/>
      <c r="AY16" s="374" t="s">
        <v>39</v>
      </c>
      <c r="AZ16" s="374"/>
      <c r="BA16" s="374"/>
      <c r="BB16" s="374"/>
      <c r="BC16" s="417"/>
    </row>
    <row r="17" spans="1:55" s="50" customFormat="1" ht="18.75" customHeight="1">
      <c r="A17" s="454" t="s">
        <v>282</v>
      </c>
      <c r="B17" s="56" t="s">
        <v>191</v>
      </c>
      <c r="C17" s="253">
        <v>17</v>
      </c>
      <c r="D17" s="253">
        <f>ROUND($AE$1*C17/1000,1)</f>
        <v>1.2</v>
      </c>
      <c r="E17" s="253" t="s">
        <v>0</v>
      </c>
      <c r="F17" s="324"/>
      <c r="G17" s="58"/>
      <c r="H17" s="468" t="s">
        <v>155</v>
      </c>
      <c r="I17" s="272" t="s">
        <v>77</v>
      </c>
      <c r="J17" s="272">
        <v>10</v>
      </c>
      <c r="K17" s="253">
        <f aca="true" t="shared" si="6" ref="K17:K22">ROUND($AE$1*J17/1000,1)</f>
        <v>0.7</v>
      </c>
      <c r="L17" s="93" t="s">
        <v>0</v>
      </c>
      <c r="M17" s="324"/>
      <c r="N17" s="58">
        <f t="shared" si="1"/>
        <v>0</v>
      </c>
      <c r="O17" s="455" t="s">
        <v>281</v>
      </c>
      <c r="P17" s="253"/>
      <c r="Q17" s="266"/>
      <c r="R17" s="253"/>
      <c r="S17" s="252"/>
      <c r="T17" s="324"/>
      <c r="U17" s="58">
        <f t="shared" si="2"/>
        <v>0</v>
      </c>
      <c r="V17" s="424" t="s">
        <v>201</v>
      </c>
      <c r="W17" s="253" t="s">
        <v>118</v>
      </c>
      <c r="X17" s="253">
        <v>25</v>
      </c>
      <c r="Y17" s="254">
        <f>ROUND($AE$1*X17/1000,1)</f>
        <v>1.8</v>
      </c>
      <c r="Z17" s="255" t="s">
        <v>0</v>
      </c>
      <c r="AA17" s="324"/>
      <c r="AB17" s="58">
        <f t="shared" si="3"/>
        <v>0</v>
      </c>
      <c r="AC17" s="424" t="s">
        <v>90</v>
      </c>
      <c r="AD17" s="266" t="s">
        <v>43</v>
      </c>
      <c r="AE17" s="266">
        <v>56</v>
      </c>
      <c r="AF17" s="253">
        <f>ROUND($AE$1*AE17/1000,1)</f>
        <v>4</v>
      </c>
      <c r="AG17" s="326" t="s">
        <v>0</v>
      </c>
      <c r="AH17" s="324"/>
      <c r="AI17" s="58">
        <f t="shared" si="5"/>
        <v>0</v>
      </c>
      <c r="AM17" s="363"/>
      <c r="AN17" s="53" t="s">
        <v>71</v>
      </c>
      <c r="AO17" s="28"/>
      <c r="AP17" s="75">
        <v>2</v>
      </c>
      <c r="AQ17" s="74" t="s">
        <v>22</v>
      </c>
      <c r="AR17" s="53"/>
      <c r="AS17" s="75"/>
      <c r="AT17" s="75"/>
      <c r="AY17" s="455" t="s">
        <v>90</v>
      </c>
      <c r="AZ17" s="253" t="s">
        <v>200</v>
      </c>
      <c r="BA17" s="266">
        <v>56</v>
      </c>
      <c r="BB17" s="253">
        <f>ROUND($AE$1*BA17/1000,1)</f>
        <v>4</v>
      </c>
      <c r="BC17" s="252" t="s">
        <v>0</v>
      </c>
    </row>
    <row r="18" spans="1:55" s="50" customFormat="1" ht="18.75" customHeight="1">
      <c r="A18" s="454"/>
      <c r="B18" s="253" t="s">
        <v>91</v>
      </c>
      <c r="C18" s="253">
        <v>1</v>
      </c>
      <c r="D18" s="253" t="s">
        <v>21</v>
      </c>
      <c r="E18" s="253" t="s">
        <v>0</v>
      </c>
      <c r="F18" s="324"/>
      <c r="G18" s="58" t="e">
        <f t="shared" si="0"/>
        <v>#VALUE!</v>
      </c>
      <c r="H18" s="468"/>
      <c r="I18" s="253" t="s">
        <v>78</v>
      </c>
      <c r="J18" s="253">
        <v>10</v>
      </c>
      <c r="K18" s="253">
        <f t="shared" si="6"/>
        <v>0.7</v>
      </c>
      <c r="L18" s="93" t="s">
        <v>0</v>
      </c>
      <c r="M18" s="324"/>
      <c r="N18" s="58">
        <f t="shared" si="1"/>
        <v>0</v>
      </c>
      <c r="O18" s="456"/>
      <c r="P18" s="266"/>
      <c r="Q18" s="266"/>
      <c r="R18" s="253"/>
      <c r="S18" s="252"/>
      <c r="T18" s="324"/>
      <c r="U18" s="58">
        <f t="shared" si="2"/>
        <v>0</v>
      </c>
      <c r="V18" s="425"/>
      <c r="W18" s="253" t="s">
        <v>186</v>
      </c>
      <c r="X18" s="253">
        <v>5</v>
      </c>
      <c r="Y18" s="254">
        <f>ROUND($AE$1*X18/1000,1)</f>
        <v>0.4</v>
      </c>
      <c r="Z18" s="255" t="s">
        <v>0</v>
      </c>
      <c r="AA18" s="324"/>
      <c r="AB18" s="58">
        <f t="shared" si="3"/>
        <v>0</v>
      </c>
      <c r="AC18" s="425"/>
      <c r="AD18" s="266" t="s">
        <v>58</v>
      </c>
      <c r="AE18" s="266">
        <v>56</v>
      </c>
      <c r="AF18" s="253">
        <f>ROUND($AE$1*AE18/1000,1)</f>
        <v>4</v>
      </c>
      <c r="AG18" s="255" t="s">
        <v>0</v>
      </c>
      <c r="AH18" s="324"/>
      <c r="AI18" s="58">
        <f t="shared" si="5"/>
        <v>0</v>
      </c>
      <c r="AM18" s="363"/>
      <c r="AN18" s="28" t="s">
        <v>72</v>
      </c>
      <c r="AO18" s="28"/>
      <c r="AP18" s="75"/>
      <c r="AQ18" s="74"/>
      <c r="AR18" s="53"/>
      <c r="AS18" s="75"/>
      <c r="AT18" s="75"/>
      <c r="AY18" s="456"/>
      <c r="AZ18" s="266" t="s">
        <v>58</v>
      </c>
      <c r="BA18" s="266">
        <v>56</v>
      </c>
      <c r="BB18" s="253">
        <f>ROUND($AE$1*BA18/1000,1)</f>
        <v>4</v>
      </c>
      <c r="BC18" s="252" t="s">
        <v>0</v>
      </c>
    </row>
    <row r="19" spans="1:55" s="50" customFormat="1" ht="18.75" customHeight="1">
      <c r="A19" s="454"/>
      <c r="B19" s="253" t="s">
        <v>70</v>
      </c>
      <c r="C19" s="253">
        <v>1</v>
      </c>
      <c r="D19" s="253">
        <f>ROUND($AE$1*C19/1000,1)</f>
        <v>0.1</v>
      </c>
      <c r="E19" s="253" t="s">
        <v>0</v>
      </c>
      <c r="F19" s="324"/>
      <c r="G19" s="58">
        <f t="shared" si="0"/>
        <v>0</v>
      </c>
      <c r="H19" s="468"/>
      <c r="I19" s="253" t="s">
        <v>257</v>
      </c>
      <c r="J19" s="253">
        <v>19</v>
      </c>
      <c r="K19" s="253">
        <f t="shared" si="6"/>
        <v>1.4</v>
      </c>
      <c r="L19" s="93" t="s">
        <v>0</v>
      </c>
      <c r="M19" s="324"/>
      <c r="N19" s="58">
        <f t="shared" si="1"/>
        <v>0</v>
      </c>
      <c r="O19" s="456"/>
      <c r="P19" s="78"/>
      <c r="Q19" s="266"/>
      <c r="R19" s="253"/>
      <c r="S19" s="252"/>
      <c r="T19" s="324"/>
      <c r="U19" s="58">
        <f t="shared" si="2"/>
        <v>0</v>
      </c>
      <c r="V19" s="425"/>
      <c r="W19" s="253" t="s">
        <v>69</v>
      </c>
      <c r="X19" s="253">
        <v>5</v>
      </c>
      <c r="Y19" s="254">
        <f>ROUND($AE$1*X19/1000,1)</f>
        <v>0.4</v>
      </c>
      <c r="Z19" s="255" t="s">
        <v>0</v>
      </c>
      <c r="AA19" s="324"/>
      <c r="AB19" s="58">
        <f t="shared" si="3"/>
        <v>0</v>
      </c>
      <c r="AC19" s="425"/>
      <c r="AD19" s="328" t="s">
        <v>18</v>
      </c>
      <c r="AE19" s="266">
        <v>56</v>
      </c>
      <c r="AF19" s="253">
        <f>ROUND($AE$1*AE19/1000,1)</f>
        <v>4</v>
      </c>
      <c r="AG19" s="255" t="s">
        <v>0</v>
      </c>
      <c r="AH19" s="324"/>
      <c r="AI19" s="58">
        <f t="shared" si="5"/>
        <v>0</v>
      </c>
      <c r="AM19" s="363"/>
      <c r="AN19" s="60" t="s">
        <v>43</v>
      </c>
      <c r="AO19" s="22">
        <v>150</v>
      </c>
      <c r="AP19" s="75">
        <f>ROUND($AE$1*AO19/1000,1)</f>
        <v>10.8</v>
      </c>
      <c r="AQ19" s="75" t="s">
        <v>0</v>
      </c>
      <c r="AR19" s="22"/>
      <c r="AS19" s="75"/>
      <c r="AT19" s="75"/>
      <c r="AY19" s="456"/>
      <c r="AZ19" s="78" t="s">
        <v>17</v>
      </c>
      <c r="BA19" s="266">
        <v>56</v>
      </c>
      <c r="BB19" s="253">
        <f>ROUND($AE$1*BA19/1000,1)</f>
        <v>4</v>
      </c>
      <c r="BC19" s="252" t="s">
        <v>0</v>
      </c>
    </row>
    <row r="20" spans="1:55" s="50" customFormat="1" ht="18.75" customHeight="1">
      <c r="A20" s="454"/>
      <c r="B20" s="53" t="s">
        <v>199</v>
      </c>
      <c r="C20" s="53">
        <v>50</v>
      </c>
      <c r="D20" s="253">
        <f>ROUND($AE$1*C20/1000,1)</f>
        <v>3.6</v>
      </c>
      <c r="E20" s="252" t="s">
        <v>0</v>
      </c>
      <c r="F20" s="324"/>
      <c r="G20" s="58"/>
      <c r="H20" s="468"/>
      <c r="I20" s="272" t="s">
        <v>258</v>
      </c>
      <c r="J20" s="272">
        <v>10</v>
      </c>
      <c r="K20" s="253">
        <f t="shared" si="6"/>
        <v>0.7</v>
      </c>
      <c r="L20" s="93" t="s">
        <v>0</v>
      </c>
      <c r="M20" s="324"/>
      <c r="N20" s="58">
        <f t="shared" si="1"/>
        <v>0</v>
      </c>
      <c r="O20" s="456"/>
      <c r="P20" s="253"/>
      <c r="Q20" s="253"/>
      <c r="R20" s="252"/>
      <c r="S20" s="252"/>
      <c r="T20" s="324"/>
      <c r="U20" s="58">
        <f t="shared" si="2"/>
        <v>0</v>
      </c>
      <c r="V20" s="425"/>
      <c r="W20" s="253" t="s">
        <v>63</v>
      </c>
      <c r="X20" s="253">
        <v>5</v>
      </c>
      <c r="Y20" s="254">
        <f>ROUND($AE$1*X20/1000,1)</f>
        <v>0.4</v>
      </c>
      <c r="Z20" s="255" t="s">
        <v>0</v>
      </c>
      <c r="AA20" s="324"/>
      <c r="AB20" s="58">
        <f t="shared" si="3"/>
        <v>0</v>
      </c>
      <c r="AC20" s="425"/>
      <c r="AD20" s="253"/>
      <c r="AE20" s="253"/>
      <c r="AF20" s="252"/>
      <c r="AG20" s="255"/>
      <c r="AH20" s="324"/>
      <c r="AI20" s="58"/>
      <c r="AM20" s="363"/>
      <c r="AN20" s="60"/>
      <c r="AO20" s="78"/>
      <c r="AP20" s="78"/>
      <c r="AQ20" s="78"/>
      <c r="AY20" s="456"/>
      <c r="AZ20" s="253"/>
      <c r="BA20" s="253"/>
      <c r="BB20" s="252"/>
      <c r="BC20" s="252"/>
    </row>
    <row r="21" spans="1:55" s="50" customFormat="1" ht="18.75" customHeight="1">
      <c r="A21" s="454"/>
      <c r="B21" s="253" t="s">
        <v>1</v>
      </c>
      <c r="C21" s="253">
        <v>30</v>
      </c>
      <c r="D21" s="253">
        <f>ROUND($AE$1*C21/1000,1)</f>
        <v>2.2</v>
      </c>
      <c r="E21" s="253" t="s">
        <v>0</v>
      </c>
      <c r="F21" s="324"/>
      <c r="G21" s="58">
        <f t="shared" si="0"/>
        <v>0</v>
      </c>
      <c r="H21" s="468"/>
      <c r="I21" s="329" t="s">
        <v>63</v>
      </c>
      <c r="J21" s="253">
        <v>4</v>
      </c>
      <c r="K21" s="253">
        <f t="shared" si="6"/>
        <v>0.3</v>
      </c>
      <c r="L21" s="93" t="s">
        <v>0</v>
      </c>
      <c r="M21" s="324"/>
      <c r="N21" s="58">
        <f t="shared" si="1"/>
        <v>0</v>
      </c>
      <c r="O21" s="456"/>
      <c r="P21" s="330"/>
      <c r="Q21" s="58"/>
      <c r="R21" s="253"/>
      <c r="S21" s="58"/>
      <c r="T21" s="324"/>
      <c r="U21" s="58">
        <f t="shared" si="2"/>
        <v>0</v>
      </c>
      <c r="V21" s="425"/>
      <c r="W21" s="253" t="s">
        <v>119</v>
      </c>
      <c r="X21" s="253">
        <v>4</v>
      </c>
      <c r="Y21" s="254">
        <f>ROUND($AE$1*X21/1000,1)</f>
        <v>0.3</v>
      </c>
      <c r="Z21" s="255" t="s">
        <v>0</v>
      </c>
      <c r="AA21" s="324"/>
      <c r="AB21" s="58">
        <f t="shared" si="3"/>
        <v>0</v>
      </c>
      <c r="AC21" s="425"/>
      <c r="AD21" s="338" t="s">
        <v>238</v>
      </c>
      <c r="AE21" s="22">
        <v>128</v>
      </c>
      <c r="AF21" s="75" t="s">
        <v>21</v>
      </c>
      <c r="AG21" s="74" t="s">
        <v>48</v>
      </c>
      <c r="AH21" s="324"/>
      <c r="AI21" s="58" t="e">
        <f t="shared" si="5"/>
        <v>#VALUE!</v>
      </c>
      <c r="AM21" s="363"/>
      <c r="AN21" s="155"/>
      <c r="AO21" s="155"/>
      <c r="AP21" s="93"/>
      <c r="AQ21" s="97"/>
      <c r="AY21" s="456"/>
      <c r="AZ21" s="330" t="s">
        <v>255</v>
      </c>
      <c r="BA21" s="58">
        <v>150</v>
      </c>
      <c r="BB21" s="253">
        <f>ROUND($AE$1*BA21/2000,0)</f>
        <v>5</v>
      </c>
      <c r="BC21" s="58" t="s">
        <v>48</v>
      </c>
    </row>
    <row r="22" spans="1:55" s="50" customFormat="1" ht="18.75" customHeight="1">
      <c r="A22" s="454"/>
      <c r="B22" s="253" t="s">
        <v>63</v>
      </c>
      <c r="C22" s="253">
        <v>8</v>
      </c>
      <c r="D22" s="253">
        <f>ROUND($AE$1*C22/1000,1)</f>
        <v>0.6</v>
      </c>
      <c r="E22" s="252" t="s">
        <v>0</v>
      </c>
      <c r="F22" s="324"/>
      <c r="G22" s="58">
        <f t="shared" si="0"/>
        <v>0</v>
      </c>
      <c r="H22" s="468"/>
      <c r="I22" s="329" t="s">
        <v>106</v>
      </c>
      <c r="J22" s="253">
        <v>4</v>
      </c>
      <c r="K22" s="253">
        <f t="shared" si="6"/>
        <v>0.3</v>
      </c>
      <c r="L22" s="93" t="s">
        <v>0</v>
      </c>
      <c r="M22" s="324"/>
      <c r="N22" s="58">
        <f t="shared" si="1"/>
        <v>0</v>
      </c>
      <c r="O22" s="456"/>
      <c r="P22" s="253"/>
      <c r="Q22" s="253"/>
      <c r="R22" s="252"/>
      <c r="S22" s="252"/>
      <c r="T22" s="324"/>
      <c r="U22" s="58">
        <f t="shared" si="2"/>
        <v>0</v>
      </c>
      <c r="V22" s="425"/>
      <c r="W22" s="253" t="s">
        <v>120</v>
      </c>
      <c r="X22" s="253">
        <v>13</v>
      </c>
      <c r="Y22" s="254">
        <f>ROUND($AE$1*X22/300,0)</f>
        <v>3</v>
      </c>
      <c r="Z22" s="258" t="s">
        <v>113</v>
      </c>
      <c r="AA22" s="324"/>
      <c r="AB22" s="58">
        <f t="shared" si="3"/>
        <v>0</v>
      </c>
      <c r="AC22" s="425"/>
      <c r="AD22" s="339" t="s">
        <v>268</v>
      </c>
      <c r="AE22" s="22"/>
      <c r="AF22" s="93"/>
      <c r="AG22" s="97"/>
      <c r="AH22" s="324"/>
      <c r="AI22" s="58"/>
      <c r="AM22" s="363"/>
      <c r="AN22" s="155"/>
      <c r="AO22" s="155"/>
      <c r="AP22" s="93"/>
      <c r="AQ22" s="97"/>
      <c r="AY22" s="456"/>
      <c r="AZ22" s="253"/>
      <c r="BA22" s="253"/>
      <c r="BB22" s="252"/>
      <c r="BC22" s="252"/>
    </row>
    <row r="23" spans="1:55" s="50" customFormat="1" ht="18.75" customHeight="1">
      <c r="A23" s="454"/>
      <c r="B23" s="253"/>
      <c r="C23" s="253"/>
      <c r="D23" s="253"/>
      <c r="E23" s="253"/>
      <c r="F23" s="324"/>
      <c r="G23" s="58">
        <f t="shared" si="0"/>
        <v>0</v>
      </c>
      <c r="H23" s="468"/>
      <c r="I23" s="330" t="s">
        <v>305</v>
      </c>
      <c r="J23" s="78">
        <v>40</v>
      </c>
      <c r="K23" s="253">
        <f>ROUND($AE$1*J23/1000,0)</f>
        <v>3</v>
      </c>
      <c r="L23" s="78" t="s">
        <v>48</v>
      </c>
      <c r="M23" s="324"/>
      <c r="N23" s="58">
        <f t="shared" si="1"/>
        <v>0</v>
      </c>
      <c r="O23" s="456"/>
      <c r="P23" s="272"/>
      <c r="Q23" s="272"/>
      <c r="R23" s="252"/>
      <c r="S23" s="252"/>
      <c r="T23" s="324"/>
      <c r="U23" s="58">
        <f t="shared" si="2"/>
        <v>0</v>
      </c>
      <c r="V23" s="425"/>
      <c r="W23" s="331"/>
      <c r="X23" s="332"/>
      <c r="Y23" s="252"/>
      <c r="Z23" s="255"/>
      <c r="AA23" s="324"/>
      <c r="AB23" s="58"/>
      <c r="AC23" s="425"/>
      <c r="AD23" s="272"/>
      <c r="AE23" s="272"/>
      <c r="AF23" s="252"/>
      <c r="AG23" s="255"/>
      <c r="AH23" s="324"/>
      <c r="AI23" s="58"/>
      <c r="AM23" s="364"/>
      <c r="AN23" s="81"/>
      <c r="AO23" s="157"/>
      <c r="AP23" s="158"/>
      <c r="AQ23" s="159"/>
      <c r="AY23" s="456"/>
      <c r="AZ23" s="272"/>
      <c r="BA23" s="272"/>
      <c r="BB23" s="252"/>
      <c r="BC23" s="252"/>
    </row>
    <row r="24" spans="1:55" s="50" customFormat="1" ht="18.75" customHeight="1" thickBot="1">
      <c r="A24" s="424"/>
      <c r="B24" s="253"/>
      <c r="C24" s="253"/>
      <c r="D24" s="253"/>
      <c r="E24" s="252"/>
      <c r="F24" s="333"/>
      <c r="G24" s="58">
        <f t="shared" si="0"/>
        <v>0</v>
      </c>
      <c r="H24" s="468"/>
      <c r="I24" s="331"/>
      <c r="J24" s="78"/>
      <c r="K24" s="78"/>
      <c r="L24" s="78"/>
      <c r="M24" s="333"/>
      <c r="N24" s="58">
        <f t="shared" si="1"/>
        <v>0</v>
      </c>
      <c r="O24" s="457"/>
      <c r="P24" s="331"/>
      <c r="Q24" s="272"/>
      <c r="R24" s="252"/>
      <c r="S24" s="252"/>
      <c r="T24" s="333"/>
      <c r="U24" s="58">
        <f t="shared" si="2"/>
        <v>0</v>
      </c>
      <c r="V24" s="426"/>
      <c r="W24" s="253" t="s">
        <v>195</v>
      </c>
      <c r="X24" s="253">
        <v>75</v>
      </c>
      <c r="Y24" s="254">
        <v>3</v>
      </c>
      <c r="Z24" s="252" t="s">
        <v>54</v>
      </c>
      <c r="AA24" s="333"/>
      <c r="AB24" s="58">
        <f t="shared" si="3"/>
        <v>0</v>
      </c>
      <c r="AC24" s="426"/>
      <c r="AD24" s="272"/>
      <c r="AE24" s="272"/>
      <c r="AF24" s="334"/>
      <c r="AG24" s="335"/>
      <c r="AH24" s="333"/>
      <c r="AI24" s="58"/>
      <c r="AY24" s="457"/>
      <c r="AZ24" s="331"/>
      <c r="BA24" s="272"/>
      <c r="BB24" s="252"/>
      <c r="BC24" s="252"/>
    </row>
    <row r="25" spans="1:55" s="40" customFormat="1" ht="18.75" customHeight="1">
      <c r="A25" s="381" t="s">
        <v>80</v>
      </c>
      <c r="B25" s="101" t="s">
        <v>81</v>
      </c>
      <c r="C25" s="358">
        <v>2.7</v>
      </c>
      <c r="D25" s="358"/>
      <c r="E25" s="391"/>
      <c r="F25" s="360" t="e">
        <f>SUM(G6:G24)</f>
        <v>#VALUE!</v>
      </c>
      <c r="G25" s="361"/>
      <c r="H25" s="381" t="s">
        <v>80</v>
      </c>
      <c r="I25" s="101" t="s">
        <v>81</v>
      </c>
      <c r="J25" s="358">
        <v>2</v>
      </c>
      <c r="K25" s="358"/>
      <c r="L25" s="391"/>
      <c r="M25" s="360">
        <f>SUM(N6:N24)</f>
        <v>0</v>
      </c>
      <c r="N25" s="361"/>
      <c r="O25" s="368" t="s">
        <v>80</v>
      </c>
      <c r="P25" s="101" t="s">
        <v>81</v>
      </c>
      <c r="Q25" s="358">
        <v>3</v>
      </c>
      <c r="R25" s="358"/>
      <c r="S25" s="391"/>
      <c r="T25" s="360">
        <f>SUM(U6:U24)</f>
        <v>0</v>
      </c>
      <c r="U25" s="361"/>
      <c r="V25" s="381" t="s">
        <v>80</v>
      </c>
      <c r="W25" s="101" t="s">
        <v>81</v>
      </c>
      <c r="X25" s="358">
        <v>2</v>
      </c>
      <c r="Y25" s="358"/>
      <c r="Z25" s="391"/>
      <c r="AA25" s="360">
        <f>SUM(AB6:AB24)</f>
        <v>0</v>
      </c>
      <c r="AB25" s="361"/>
      <c r="AC25" s="368" t="s">
        <v>80</v>
      </c>
      <c r="AD25" s="101" t="s">
        <v>81</v>
      </c>
      <c r="AE25" s="358">
        <v>2</v>
      </c>
      <c r="AF25" s="358"/>
      <c r="AG25" s="391"/>
      <c r="AH25" s="360" t="e">
        <f>SUM(AI6:AI24)</f>
        <v>#VALUE!</v>
      </c>
      <c r="AI25" s="361"/>
      <c r="AJ25" s="102">
        <f>(AE25+X25+Q25+J25+C25)/5</f>
        <v>2.34</v>
      </c>
      <c r="AT25" s="65"/>
      <c r="AY25" s="368" t="s">
        <v>80</v>
      </c>
      <c r="AZ25" s="101" t="s">
        <v>81</v>
      </c>
      <c r="BA25" s="358">
        <v>2</v>
      </c>
      <c r="BB25" s="358"/>
      <c r="BC25" s="391"/>
    </row>
    <row r="26" spans="1:55" s="40" customFormat="1" ht="18.75" customHeight="1">
      <c r="A26" s="382"/>
      <c r="B26" s="103" t="s">
        <v>82</v>
      </c>
      <c r="C26" s="365">
        <v>0.5</v>
      </c>
      <c r="D26" s="365"/>
      <c r="E26" s="366"/>
      <c r="F26" s="104"/>
      <c r="G26" s="105"/>
      <c r="H26" s="382"/>
      <c r="I26" s="103" t="s">
        <v>82</v>
      </c>
      <c r="J26" s="365">
        <v>0.6</v>
      </c>
      <c r="K26" s="365"/>
      <c r="L26" s="366"/>
      <c r="M26" s="106"/>
      <c r="N26" s="105"/>
      <c r="O26" s="369"/>
      <c r="P26" s="103" t="s">
        <v>82</v>
      </c>
      <c r="Q26" s="365">
        <v>0.1</v>
      </c>
      <c r="R26" s="365"/>
      <c r="S26" s="366"/>
      <c r="T26" s="106"/>
      <c r="U26" s="107"/>
      <c r="V26" s="382"/>
      <c r="W26" s="103" t="s">
        <v>82</v>
      </c>
      <c r="X26" s="365">
        <v>0.5</v>
      </c>
      <c r="Y26" s="365"/>
      <c r="Z26" s="366"/>
      <c r="AA26" s="108"/>
      <c r="AB26" s="105"/>
      <c r="AC26" s="369"/>
      <c r="AD26" s="103" t="s">
        <v>82</v>
      </c>
      <c r="AE26" s="365">
        <v>0.6</v>
      </c>
      <c r="AF26" s="365"/>
      <c r="AG26" s="366"/>
      <c r="AH26" s="109"/>
      <c r="AI26" s="110"/>
      <c r="AJ26" s="102">
        <f aca="true" t="shared" si="7" ref="AJ26:AJ31">(AE26+X26+Q26+J26+C26)/5</f>
        <v>0.4600000000000001</v>
      </c>
      <c r="AT26" s="65"/>
      <c r="AY26" s="369"/>
      <c r="AZ26" s="103" t="s">
        <v>82</v>
      </c>
      <c r="BA26" s="365">
        <v>0.7</v>
      </c>
      <c r="BB26" s="365"/>
      <c r="BC26" s="366"/>
    </row>
    <row r="27" spans="1:55" s="40" customFormat="1" ht="18.75" customHeight="1">
      <c r="A27" s="382"/>
      <c r="B27" s="111" t="s">
        <v>85</v>
      </c>
      <c r="C27" s="365">
        <v>0.5</v>
      </c>
      <c r="D27" s="365"/>
      <c r="E27" s="366"/>
      <c r="F27" s="104"/>
      <c r="G27" s="105"/>
      <c r="H27" s="382"/>
      <c r="I27" s="111" t="s">
        <v>85</v>
      </c>
      <c r="J27" s="365">
        <v>0.3</v>
      </c>
      <c r="K27" s="365"/>
      <c r="L27" s="366"/>
      <c r="M27" s="106"/>
      <c r="N27" s="105"/>
      <c r="O27" s="369"/>
      <c r="P27" s="111" t="s">
        <v>85</v>
      </c>
      <c r="Q27" s="365">
        <v>0</v>
      </c>
      <c r="R27" s="365"/>
      <c r="S27" s="366"/>
      <c r="T27" s="106"/>
      <c r="U27" s="107"/>
      <c r="V27" s="382"/>
      <c r="W27" s="111" t="s">
        <v>85</v>
      </c>
      <c r="X27" s="365">
        <v>0.7</v>
      </c>
      <c r="Y27" s="365"/>
      <c r="Z27" s="366"/>
      <c r="AA27" s="108"/>
      <c r="AB27" s="105"/>
      <c r="AC27" s="369"/>
      <c r="AD27" s="111" t="s">
        <v>85</v>
      </c>
      <c r="AE27" s="365">
        <v>0.5</v>
      </c>
      <c r="AF27" s="365"/>
      <c r="AG27" s="366"/>
      <c r="AH27" s="109"/>
      <c r="AI27" s="110"/>
      <c r="AJ27" s="102">
        <f t="shared" si="7"/>
        <v>0.4</v>
      </c>
      <c r="AT27" s="73"/>
      <c r="AY27" s="369"/>
      <c r="AZ27" s="111" t="s">
        <v>85</v>
      </c>
      <c r="BA27" s="365">
        <v>0.7</v>
      </c>
      <c r="BB27" s="365"/>
      <c r="BC27" s="366"/>
    </row>
    <row r="28" spans="1:55" s="40" customFormat="1" ht="18.75" customHeight="1">
      <c r="A28" s="382"/>
      <c r="B28" s="112" t="s">
        <v>83</v>
      </c>
      <c r="C28" s="365">
        <v>0.5</v>
      </c>
      <c r="D28" s="365"/>
      <c r="E28" s="366"/>
      <c r="F28" s="104"/>
      <c r="G28" s="105"/>
      <c r="H28" s="382"/>
      <c r="I28" s="112" t="s">
        <v>84</v>
      </c>
      <c r="J28" s="365">
        <v>0.5</v>
      </c>
      <c r="K28" s="365"/>
      <c r="L28" s="366"/>
      <c r="M28" s="106"/>
      <c r="N28" s="105"/>
      <c r="O28" s="369"/>
      <c r="P28" s="112" t="s">
        <v>83</v>
      </c>
      <c r="Q28" s="365">
        <v>0.5</v>
      </c>
      <c r="R28" s="365"/>
      <c r="S28" s="366"/>
      <c r="T28" s="106"/>
      <c r="U28" s="107"/>
      <c r="V28" s="382"/>
      <c r="W28" s="112" t="s">
        <v>83</v>
      </c>
      <c r="X28" s="365">
        <v>0.5</v>
      </c>
      <c r="Y28" s="365"/>
      <c r="Z28" s="366"/>
      <c r="AA28" s="108"/>
      <c r="AB28" s="105"/>
      <c r="AC28" s="369"/>
      <c r="AD28" s="112" t="s">
        <v>83</v>
      </c>
      <c r="AE28" s="365">
        <v>0.5</v>
      </c>
      <c r="AF28" s="365"/>
      <c r="AG28" s="366"/>
      <c r="AH28" s="109"/>
      <c r="AI28" s="110"/>
      <c r="AJ28" s="102">
        <f t="shared" si="7"/>
        <v>0.5</v>
      </c>
      <c r="AT28" s="73"/>
      <c r="AY28" s="369"/>
      <c r="AZ28" s="112" t="s">
        <v>83</v>
      </c>
      <c r="BA28" s="365">
        <v>0.5</v>
      </c>
      <c r="BB28" s="365"/>
      <c r="BC28" s="366"/>
    </row>
    <row r="29" spans="1:55" s="40" customFormat="1" ht="18.75" customHeight="1">
      <c r="A29" s="382"/>
      <c r="B29" s="103" t="s">
        <v>86</v>
      </c>
      <c r="C29" s="365">
        <v>0.3</v>
      </c>
      <c r="D29" s="365"/>
      <c r="E29" s="366"/>
      <c r="F29" s="104"/>
      <c r="G29" s="105"/>
      <c r="H29" s="382"/>
      <c r="I29" s="103" t="s">
        <v>86</v>
      </c>
      <c r="J29" s="365">
        <v>0</v>
      </c>
      <c r="K29" s="365"/>
      <c r="L29" s="366"/>
      <c r="M29" s="106"/>
      <c r="N29" s="105"/>
      <c r="O29" s="369"/>
      <c r="P29" s="103" t="s">
        <v>86</v>
      </c>
      <c r="Q29" s="365">
        <v>1</v>
      </c>
      <c r="R29" s="365"/>
      <c r="S29" s="366"/>
      <c r="T29" s="106"/>
      <c r="U29" s="107"/>
      <c r="V29" s="382"/>
      <c r="W29" s="103" t="s">
        <v>86</v>
      </c>
      <c r="X29" s="365">
        <v>0.8</v>
      </c>
      <c r="Y29" s="365"/>
      <c r="Z29" s="366"/>
      <c r="AA29" s="108"/>
      <c r="AB29" s="105"/>
      <c r="AC29" s="369"/>
      <c r="AD29" s="103" t="s">
        <v>86</v>
      </c>
      <c r="AE29" s="365">
        <v>1</v>
      </c>
      <c r="AF29" s="365"/>
      <c r="AG29" s="366"/>
      <c r="AH29" s="109"/>
      <c r="AI29" s="110"/>
      <c r="AJ29" s="102">
        <f t="shared" si="7"/>
        <v>0.6199999999999999</v>
      </c>
      <c r="AP29" s="454" t="s">
        <v>158</v>
      </c>
      <c r="AQ29" s="325" t="s">
        <v>159</v>
      </c>
      <c r="AR29" s="325">
        <v>15</v>
      </c>
      <c r="AS29" s="252" t="s">
        <v>21</v>
      </c>
      <c r="AT29" s="252" t="s">
        <v>0</v>
      </c>
      <c r="AY29" s="369"/>
      <c r="AZ29" s="103" t="s">
        <v>86</v>
      </c>
      <c r="BA29" s="365">
        <v>1</v>
      </c>
      <c r="BB29" s="365"/>
      <c r="BC29" s="366"/>
    </row>
    <row r="30" spans="1:55" s="40" customFormat="1" ht="18.75" customHeight="1">
      <c r="A30" s="382"/>
      <c r="B30" s="103" t="s">
        <v>87</v>
      </c>
      <c r="C30" s="365">
        <v>0.5</v>
      </c>
      <c r="D30" s="365"/>
      <c r="E30" s="366"/>
      <c r="F30" s="104"/>
      <c r="G30" s="105"/>
      <c r="H30" s="382"/>
      <c r="I30" s="103" t="s">
        <v>87</v>
      </c>
      <c r="J30" s="365">
        <v>0.5</v>
      </c>
      <c r="K30" s="365"/>
      <c r="L30" s="366"/>
      <c r="M30" s="113"/>
      <c r="N30" s="105"/>
      <c r="O30" s="369"/>
      <c r="P30" s="103" t="s">
        <v>87</v>
      </c>
      <c r="Q30" s="365">
        <v>0</v>
      </c>
      <c r="R30" s="365"/>
      <c r="S30" s="366"/>
      <c r="T30" s="106"/>
      <c r="U30" s="107"/>
      <c r="V30" s="382"/>
      <c r="W30" s="103" t="s">
        <v>87</v>
      </c>
      <c r="X30" s="365">
        <v>0.6</v>
      </c>
      <c r="Y30" s="365"/>
      <c r="Z30" s="366"/>
      <c r="AA30" s="108"/>
      <c r="AB30" s="105"/>
      <c r="AC30" s="369"/>
      <c r="AD30" s="103" t="s">
        <v>87</v>
      </c>
      <c r="AE30" s="365">
        <v>0.6</v>
      </c>
      <c r="AF30" s="365"/>
      <c r="AG30" s="366"/>
      <c r="AH30" s="109"/>
      <c r="AI30" s="110"/>
      <c r="AJ30" s="102">
        <f t="shared" si="7"/>
        <v>0.44000000000000006</v>
      </c>
      <c r="AK30" s="40">
        <v>0.2</v>
      </c>
      <c r="AP30" s="454"/>
      <c r="AQ30" s="327" t="s">
        <v>160</v>
      </c>
      <c r="AR30" s="325">
        <v>5</v>
      </c>
      <c r="AS30" s="253">
        <f>ROUND($AE$1*AR30/300,0)</f>
        <v>1</v>
      </c>
      <c r="AT30" s="271" t="s">
        <v>22</v>
      </c>
      <c r="AY30" s="369"/>
      <c r="AZ30" s="103" t="s">
        <v>87</v>
      </c>
      <c r="BA30" s="365">
        <v>0.6</v>
      </c>
      <c r="BB30" s="365"/>
      <c r="BC30" s="366"/>
    </row>
    <row r="31" spans="1:55" s="40" customFormat="1" ht="18.75" customHeight="1" thickBot="1">
      <c r="A31" s="383"/>
      <c r="B31" s="114" t="s">
        <v>88</v>
      </c>
      <c r="C31" s="379">
        <f>C25*70+C26*75+C27*25+C28*45+C30*120+C29*60</f>
        <v>339.5</v>
      </c>
      <c r="D31" s="379"/>
      <c r="E31" s="380"/>
      <c r="F31" s="115"/>
      <c r="G31" s="116"/>
      <c r="H31" s="383"/>
      <c r="I31" s="114" t="s">
        <v>88</v>
      </c>
      <c r="J31" s="379">
        <f>J25*70+J26*75+J27*25+J28*45+J30*120+J29*60</f>
        <v>275</v>
      </c>
      <c r="K31" s="379"/>
      <c r="L31" s="380"/>
      <c r="M31" s="117"/>
      <c r="N31" s="116"/>
      <c r="O31" s="370"/>
      <c r="P31" s="114" t="s">
        <v>88</v>
      </c>
      <c r="Q31" s="379">
        <f>Q25*70+Q26*75+Q27*25+Q28*45+Q30*120+Q29*60</f>
        <v>300</v>
      </c>
      <c r="R31" s="379"/>
      <c r="S31" s="380"/>
      <c r="T31" s="117"/>
      <c r="U31" s="118"/>
      <c r="V31" s="383"/>
      <c r="W31" s="114" t="s">
        <v>88</v>
      </c>
      <c r="X31" s="379">
        <f>X25*70+X26*75+X27*25+X28*45+X30*120+X29*60</f>
        <v>337.5</v>
      </c>
      <c r="Y31" s="379"/>
      <c r="Z31" s="380"/>
      <c r="AA31" s="119"/>
      <c r="AB31" s="116"/>
      <c r="AC31" s="370"/>
      <c r="AD31" s="114" t="s">
        <v>88</v>
      </c>
      <c r="AE31" s="379">
        <f>AE25*70+AE26*75+AE27*25+AE28*45+AE30*120+AE29*60</f>
        <v>352</v>
      </c>
      <c r="AF31" s="379"/>
      <c r="AG31" s="380"/>
      <c r="AH31" s="120"/>
      <c r="AI31" s="121"/>
      <c r="AJ31" s="102">
        <f t="shared" si="7"/>
        <v>320.8</v>
      </c>
      <c r="AP31" s="454"/>
      <c r="AQ31" s="256" t="s">
        <v>256</v>
      </c>
      <c r="AR31" s="253">
        <v>100</v>
      </c>
      <c r="AS31" s="253">
        <f>ROUND($AE$1*AR31/2000,0)</f>
        <v>4</v>
      </c>
      <c r="AT31" s="58" t="s">
        <v>48</v>
      </c>
      <c r="AY31" s="370"/>
      <c r="AZ31" s="114" t="s">
        <v>88</v>
      </c>
      <c r="BA31" s="379">
        <f>BA25*70+BA26*75+BA27*25+BA28*45+BA30*120+BA29*60</f>
        <v>364.5</v>
      </c>
      <c r="BB31" s="379"/>
      <c r="BC31" s="380"/>
    </row>
    <row r="32" spans="1:52" s="50" customFormat="1" ht="18.75" customHeight="1">
      <c r="A32" s="82"/>
      <c r="B32" s="83"/>
      <c r="C32" s="83"/>
      <c r="D32" s="122"/>
      <c r="E32" s="122"/>
      <c r="F32" s="84"/>
      <c r="G32" s="83"/>
      <c r="H32" s="85"/>
      <c r="I32" s="83"/>
      <c r="J32" s="83"/>
      <c r="K32" s="122"/>
      <c r="L32" s="122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2"/>
      <c r="AG32" s="122"/>
      <c r="AH32" s="84"/>
      <c r="AI32" s="83"/>
      <c r="AJ32" s="84"/>
      <c r="AK32" s="83"/>
      <c r="AP32" s="454"/>
      <c r="AQ32" s="325" t="s">
        <v>161</v>
      </c>
      <c r="AR32" s="253"/>
      <c r="AS32" s="252" t="s">
        <v>21</v>
      </c>
      <c r="AT32" s="252" t="s">
        <v>0</v>
      </c>
      <c r="AU32" s="22"/>
      <c r="AV32" s="22"/>
      <c r="AW32" s="75"/>
      <c r="AX32" s="74"/>
      <c r="AY32" s="51"/>
      <c r="AZ32" s="52"/>
    </row>
    <row r="33" spans="1:63" s="50" customFormat="1" ht="19.5" customHeight="1">
      <c r="A33" s="392" t="s">
        <v>51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123"/>
      <c r="AJ33" s="123"/>
      <c r="AK33" s="63"/>
      <c r="AL33" s="64"/>
      <c r="AM33" s="64"/>
      <c r="AN33" s="65"/>
      <c r="AO33" s="65"/>
      <c r="AP33" s="454"/>
      <c r="AQ33" s="253" t="s">
        <v>162</v>
      </c>
      <c r="AR33" s="253">
        <v>10</v>
      </c>
      <c r="AS33" s="252">
        <v>1</v>
      </c>
      <c r="AT33" s="252" t="s">
        <v>20</v>
      </c>
      <c r="AU33" s="22"/>
      <c r="AV33" s="22"/>
      <c r="AW33" s="93"/>
      <c r="AX33" s="97"/>
      <c r="AY33" s="51"/>
      <c r="AZ33" s="52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</row>
    <row r="34" spans="1:63" s="50" customFormat="1" ht="22.5" customHeight="1">
      <c r="A34" s="385" t="s">
        <v>60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124"/>
      <c r="AJ34" s="124"/>
      <c r="AK34" s="65"/>
      <c r="AL34" s="66"/>
      <c r="AM34" s="66"/>
      <c r="AN34" s="65"/>
      <c r="AO34" s="65"/>
      <c r="AP34" s="454"/>
      <c r="AQ34" s="253"/>
      <c r="AR34" s="253"/>
      <c r="AS34" s="252"/>
      <c r="AT34" s="252"/>
      <c r="AU34" s="22"/>
      <c r="AV34" s="22"/>
      <c r="AW34" s="93"/>
      <c r="AX34" s="97"/>
      <c r="AY34" s="51"/>
      <c r="AZ34" s="52">
        <f>AW34*AY34</f>
        <v>0</v>
      </c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5" spans="42:46" ht="22.5" customHeight="1">
      <c r="AP35" s="454"/>
      <c r="AQ35" s="325" t="s">
        <v>163</v>
      </c>
      <c r="AR35" s="272"/>
      <c r="AS35" s="252"/>
      <c r="AT35" s="252"/>
    </row>
    <row r="36" spans="42:46" ht="22.5" customHeight="1">
      <c r="AP36" s="424"/>
      <c r="AQ36" s="331"/>
      <c r="AR36" s="281"/>
      <c r="AS36" s="282"/>
      <c r="AT36" s="282"/>
    </row>
  </sheetData>
  <sheetProtection selectLockedCells="1" selectUnlockedCells="1"/>
  <mergeCells count="99">
    <mergeCell ref="AD2:AG2"/>
    <mergeCell ref="AD4:AG4"/>
    <mergeCell ref="A6:A15"/>
    <mergeCell ref="AC5:AG5"/>
    <mergeCell ref="AC6:AC15"/>
    <mergeCell ref="B2:E2"/>
    <mergeCell ref="I4:L4"/>
    <mergeCell ref="H6:H15"/>
    <mergeCell ref="V2:V4"/>
    <mergeCell ref="W2:Z2"/>
    <mergeCell ref="A17:A24"/>
    <mergeCell ref="H17:H24"/>
    <mergeCell ref="O17:O24"/>
    <mergeCell ref="V17:V24"/>
    <mergeCell ref="V16:Z16"/>
    <mergeCell ref="O16:S16"/>
    <mergeCell ref="A16:E16"/>
    <mergeCell ref="H16:L16"/>
    <mergeCell ref="AE1:AG1"/>
    <mergeCell ref="A5:E5"/>
    <mergeCell ref="H5:L5"/>
    <mergeCell ref="O5:S5"/>
    <mergeCell ref="AC2:AC4"/>
    <mergeCell ref="P4:S4"/>
    <mergeCell ref="W4:Z4"/>
    <mergeCell ref="A2:A4"/>
    <mergeCell ref="B4:E4"/>
    <mergeCell ref="P1:AD1"/>
    <mergeCell ref="O6:O15"/>
    <mergeCell ref="V5:Z5"/>
    <mergeCell ref="O2:O4"/>
    <mergeCell ref="H2:H4"/>
    <mergeCell ref="I2:L2"/>
    <mergeCell ref="P2:S2"/>
    <mergeCell ref="V6:V15"/>
    <mergeCell ref="AH25:AI25"/>
    <mergeCell ref="AE25:AG25"/>
    <mergeCell ref="X25:Z25"/>
    <mergeCell ref="AA25:AB25"/>
    <mergeCell ref="AC25:AC31"/>
    <mergeCell ref="X29:Z29"/>
    <mergeCell ref="X28:Z28"/>
    <mergeCell ref="Q26:S26"/>
    <mergeCell ref="AE26:AG26"/>
    <mergeCell ref="X26:Z26"/>
    <mergeCell ref="AE27:AG27"/>
    <mergeCell ref="AE28:AG28"/>
    <mergeCell ref="X31:Z31"/>
    <mergeCell ref="AE31:AG31"/>
    <mergeCell ref="AC17:AC24"/>
    <mergeCell ref="AC16:AG16"/>
    <mergeCell ref="C31:E31"/>
    <mergeCell ref="A25:A31"/>
    <mergeCell ref="C25:E25"/>
    <mergeCell ref="F25:G25"/>
    <mergeCell ref="H25:H31"/>
    <mergeCell ref="J25:L25"/>
    <mergeCell ref="C26:E26"/>
    <mergeCell ref="J26:L26"/>
    <mergeCell ref="C28:E28"/>
    <mergeCell ref="J28:L28"/>
    <mergeCell ref="Q28:S28"/>
    <mergeCell ref="A1:N1"/>
    <mergeCell ref="Q27:S27"/>
    <mergeCell ref="X27:Z27"/>
    <mergeCell ref="J27:L27"/>
    <mergeCell ref="C27:E27"/>
    <mergeCell ref="V25:V31"/>
    <mergeCell ref="Q29:S29"/>
    <mergeCell ref="AM5:AM15"/>
    <mergeCell ref="AM16:AM23"/>
    <mergeCell ref="A33:AH33"/>
    <mergeCell ref="M25:N25"/>
    <mergeCell ref="O25:O31"/>
    <mergeCell ref="Q25:S25"/>
    <mergeCell ref="T25:U25"/>
    <mergeCell ref="C29:E29"/>
    <mergeCell ref="J29:L29"/>
    <mergeCell ref="AE29:AG29"/>
    <mergeCell ref="BA29:BC29"/>
    <mergeCell ref="BA30:BC30"/>
    <mergeCell ref="A34:AH34"/>
    <mergeCell ref="C30:E30"/>
    <mergeCell ref="J30:L30"/>
    <mergeCell ref="Q30:S30"/>
    <mergeCell ref="X30:Z30"/>
    <mergeCell ref="AE30:AG30"/>
    <mergeCell ref="J31:L31"/>
    <mergeCell ref="Q31:S31"/>
    <mergeCell ref="BA31:BC31"/>
    <mergeCell ref="AP29:AP36"/>
    <mergeCell ref="AY6:AY15"/>
    <mergeCell ref="AY16:BC16"/>
    <mergeCell ref="AY17:AY24"/>
    <mergeCell ref="AY25:AY31"/>
    <mergeCell ref="BA25:BC25"/>
    <mergeCell ref="BA26:BC26"/>
    <mergeCell ref="BA27:BC27"/>
    <mergeCell ref="BA28:BC28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X41"/>
  <sheetViews>
    <sheetView view="pageBreakPreview" zoomScaleSheetLayoutView="100" zoomScalePageLayoutView="0" workbookViewId="0" topLeftCell="A2">
      <selection activeCell="AD23" sqref="AD23:AG23"/>
    </sheetView>
  </sheetViews>
  <sheetFormatPr defaultColWidth="6.125" defaultRowHeight="16.5"/>
  <cols>
    <col min="1" max="1" width="3.75390625" style="67" customWidth="1"/>
    <col min="2" max="2" width="18.375" style="68" customWidth="1"/>
    <col min="3" max="3" width="6.125" style="68" customWidth="1"/>
    <col min="4" max="5" width="5.625" style="68" customWidth="1"/>
    <col min="6" max="6" width="6.125" style="69" customWidth="1"/>
    <col min="7" max="7" width="6.125" style="70" customWidth="1"/>
    <col min="8" max="8" width="3.625" style="67" customWidth="1"/>
    <col min="9" max="9" width="18.625" style="68" customWidth="1"/>
    <col min="10" max="10" width="6.125" style="68" customWidth="1"/>
    <col min="11" max="12" width="5.625" style="68" customWidth="1"/>
    <col min="13" max="13" width="6.125" style="69" customWidth="1"/>
    <col min="14" max="14" width="6.125" style="70" customWidth="1"/>
    <col min="15" max="15" width="3.875" style="67" customWidth="1"/>
    <col min="16" max="16" width="19.125" style="68" customWidth="1"/>
    <col min="17" max="17" width="6.125" style="68" customWidth="1"/>
    <col min="18" max="19" width="5.625" style="68" customWidth="1"/>
    <col min="20" max="20" width="6.125" style="69" customWidth="1"/>
    <col min="21" max="21" width="6.125" style="70" customWidth="1"/>
    <col min="22" max="22" width="3.625" style="71" customWidth="1"/>
    <col min="23" max="23" width="16.125" style="68" customWidth="1"/>
    <col min="24" max="24" width="6.125" style="68" customWidth="1"/>
    <col min="25" max="26" width="5.625" style="68" customWidth="1"/>
    <col min="27" max="27" width="6.125" style="69" customWidth="1"/>
    <col min="28" max="28" width="6.125" style="70" customWidth="1"/>
    <col min="29" max="29" width="4.125" style="67" customWidth="1"/>
    <col min="30" max="30" width="16.125" style="68" customWidth="1"/>
    <col min="31" max="31" width="6.125" style="68" customWidth="1"/>
    <col min="32" max="33" width="5.625" style="68" customWidth="1"/>
    <col min="34" max="34" width="6.125" style="72" customWidth="1"/>
    <col min="35" max="35" width="6.125" style="70" customWidth="1"/>
    <col min="36" max="36" width="7.50390625" style="73" bestFit="1" customWidth="1"/>
    <col min="37" max="37" width="7.50390625" style="73" customWidth="1"/>
    <col min="38" max="16384" width="6.125" style="73" customWidth="1"/>
  </cols>
  <sheetData>
    <row r="1" spans="1:35" s="92" customFormat="1" ht="30" customHeight="1" thickBot="1">
      <c r="A1" s="497" t="str">
        <f>'第三周 '!A1</f>
        <v>僑愛國民小學附幼111學年度下學期第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217">
        <f>'第三周 '!O1+1</f>
        <v>15</v>
      </c>
      <c r="P1" s="467" t="s">
        <v>203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91">
        <v>72</v>
      </c>
      <c r="AF1" s="91">
        <v>72</v>
      </c>
      <c r="AG1" s="91"/>
      <c r="AH1" s="91"/>
      <c r="AI1" s="91"/>
    </row>
    <row r="2" spans="1:45" s="40" customFormat="1" ht="18.75" customHeight="1">
      <c r="A2" s="490" t="s">
        <v>24</v>
      </c>
      <c r="B2" s="492">
        <f>'第三周 '!B2:E2+7</f>
        <v>45068</v>
      </c>
      <c r="C2" s="492"/>
      <c r="D2" s="492"/>
      <c r="E2" s="492"/>
      <c r="F2" s="204"/>
      <c r="G2" s="205"/>
      <c r="H2" s="493" t="s">
        <v>24</v>
      </c>
      <c r="I2" s="494">
        <f>B2+1</f>
        <v>45069</v>
      </c>
      <c r="J2" s="494"/>
      <c r="K2" s="494"/>
      <c r="L2" s="494"/>
      <c r="M2" s="206"/>
      <c r="N2" s="207"/>
      <c r="O2" s="489" t="s">
        <v>24</v>
      </c>
      <c r="P2" s="495">
        <f>I2+1</f>
        <v>45070</v>
      </c>
      <c r="Q2" s="495"/>
      <c r="R2" s="495"/>
      <c r="S2" s="495"/>
      <c r="T2" s="208"/>
      <c r="U2" s="209"/>
      <c r="V2" s="489" t="s">
        <v>24</v>
      </c>
      <c r="W2" s="496">
        <f>P2+1</f>
        <v>45071</v>
      </c>
      <c r="X2" s="496"/>
      <c r="Y2" s="496"/>
      <c r="Z2" s="496"/>
      <c r="AA2" s="210"/>
      <c r="AB2" s="211"/>
      <c r="AC2" s="489" t="s">
        <v>24</v>
      </c>
      <c r="AD2" s="486">
        <f>W2+1</f>
        <v>45072</v>
      </c>
      <c r="AE2" s="486"/>
      <c r="AF2" s="486"/>
      <c r="AG2" s="487"/>
      <c r="AH2" s="348"/>
      <c r="AI2" s="198"/>
      <c r="AO2" s="498" t="s">
        <v>287</v>
      </c>
      <c r="AP2" s="59" t="s">
        <v>234</v>
      </c>
      <c r="AQ2" s="253">
        <v>1</v>
      </c>
      <c r="AR2" s="253">
        <f>ROUND($AE$1*AQ2,0)</f>
        <v>72</v>
      </c>
      <c r="AS2" s="252" t="s">
        <v>15</v>
      </c>
    </row>
    <row r="3" spans="1:45" s="40" customFormat="1" ht="18.75" customHeight="1">
      <c r="A3" s="491"/>
      <c r="B3" s="41" t="s">
        <v>25</v>
      </c>
      <c r="C3" s="41" t="s">
        <v>26</v>
      </c>
      <c r="D3" s="42" t="s">
        <v>27</v>
      </c>
      <c r="E3" s="42" t="s">
        <v>28</v>
      </c>
      <c r="F3" s="43" t="s">
        <v>29</v>
      </c>
      <c r="G3" s="41" t="s">
        <v>30</v>
      </c>
      <c r="H3" s="40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395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395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395"/>
      <c r="AD3" s="41" t="s">
        <v>25</v>
      </c>
      <c r="AE3" s="41" t="s">
        <v>26</v>
      </c>
      <c r="AF3" s="42" t="s">
        <v>27</v>
      </c>
      <c r="AG3" s="48" t="s">
        <v>28</v>
      </c>
      <c r="AH3" s="349" t="s">
        <v>29</v>
      </c>
      <c r="AI3" s="199" t="s">
        <v>30</v>
      </c>
      <c r="AO3" s="498"/>
      <c r="AP3" s="53"/>
      <c r="AQ3" s="28"/>
      <c r="AR3" s="75"/>
      <c r="AS3" s="74"/>
    </row>
    <row r="4" spans="1:45" s="50" customFormat="1" ht="18.75" customHeight="1" hidden="1">
      <c r="A4" s="491"/>
      <c r="B4" s="403" t="s">
        <v>31</v>
      </c>
      <c r="C4" s="403"/>
      <c r="D4" s="403"/>
      <c r="E4" s="403"/>
      <c r="F4" s="45"/>
      <c r="G4" s="46"/>
      <c r="H4" s="404"/>
      <c r="I4" s="403" t="s">
        <v>32</v>
      </c>
      <c r="J4" s="403"/>
      <c r="K4" s="403"/>
      <c r="L4" s="403"/>
      <c r="M4" s="45"/>
      <c r="N4" s="47"/>
      <c r="O4" s="395"/>
      <c r="P4" s="403" t="s">
        <v>33</v>
      </c>
      <c r="Q4" s="403"/>
      <c r="R4" s="403"/>
      <c r="S4" s="403"/>
      <c r="T4" s="43"/>
      <c r="U4" s="48"/>
      <c r="V4" s="395"/>
      <c r="W4" s="403" t="s">
        <v>34</v>
      </c>
      <c r="X4" s="403"/>
      <c r="Y4" s="403"/>
      <c r="Z4" s="403"/>
      <c r="AA4" s="45"/>
      <c r="AB4" s="47"/>
      <c r="AC4" s="395"/>
      <c r="AD4" s="401" t="s">
        <v>35</v>
      </c>
      <c r="AE4" s="401"/>
      <c r="AF4" s="401"/>
      <c r="AG4" s="488"/>
      <c r="AH4" s="350"/>
      <c r="AI4" s="181"/>
      <c r="AO4" s="498"/>
      <c r="AP4" s="28"/>
      <c r="AQ4" s="28"/>
      <c r="AR4" s="75"/>
      <c r="AS4" s="74"/>
    </row>
    <row r="5" spans="1:45" s="50" customFormat="1" ht="18.75" customHeight="1">
      <c r="A5" s="484" t="s">
        <v>36</v>
      </c>
      <c r="B5" s="378"/>
      <c r="C5" s="378"/>
      <c r="D5" s="378"/>
      <c r="E5" s="378"/>
      <c r="F5" s="87"/>
      <c r="G5" s="88"/>
      <c r="H5" s="386" t="s">
        <v>36</v>
      </c>
      <c r="I5" s="378"/>
      <c r="J5" s="378"/>
      <c r="K5" s="378"/>
      <c r="L5" s="378"/>
      <c r="M5" s="87"/>
      <c r="N5" s="89"/>
      <c r="O5" s="402" t="s">
        <v>36</v>
      </c>
      <c r="P5" s="378"/>
      <c r="Q5" s="378"/>
      <c r="R5" s="378"/>
      <c r="S5" s="378"/>
      <c r="T5" s="87"/>
      <c r="U5" s="89"/>
      <c r="V5" s="402" t="s">
        <v>36</v>
      </c>
      <c r="W5" s="378"/>
      <c r="X5" s="378"/>
      <c r="Y5" s="378"/>
      <c r="Z5" s="378"/>
      <c r="AA5" s="87"/>
      <c r="AB5" s="89"/>
      <c r="AC5" s="402" t="s">
        <v>36</v>
      </c>
      <c r="AD5" s="378"/>
      <c r="AE5" s="378"/>
      <c r="AF5" s="378"/>
      <c r="AG5" s="485"/>
      <c r="AH5" s="350"/>
      <c r="AI5" s="181"/>
      <c r="AO5" s="498"/>
      <c r="AP5" s="28" t="s">
        <v>253</v>
      </c>
      <c r="AQ5" s="59">
        <v>70</v>
      </c>
      <c r="AR5" s="75">
        <f>ROUND($AE$1*AQ5/1000,1)</f>
        <v>5</v>
      </c>
      <c r="AS5" s="97" t="s">
        <v>0</v>
      </c>
    </row>
    <row r="6" spans="1:45" s="50" customFormat="1" ht="18.75" customHeight="1">
      <c r="A6" s="375" t="s">
        <v>165</v>
      </c>
      <c r="B6" s="22" t="s">
        <v>156</v>
      </c>
      <c r="C6" s="22">
        <v>6</v>
      </c>
      <c r="D6" s="75">
        <f>ROUND($AE$1*C6,1)</f>
        <v>432</v>
      </c>
      <c r="E6" s="125" t="s">
        <v>15</v>
      </c>
      <c r="F6" s="51"/>
      <c r="G6" s="52">
        <f>D6*F6</f>
        <v>0</v>
      </c>
      <c r="H6" s="375" t="s">
        <v>241</v>
      </c>
      <c r="I6" s="22" t="s">
        <v>242</v>
      </c>
      <c r="J6" s="23">
        <v>70</v>
      </c>
      <c r="K6" s="75">
        <f>ROUND($AE$1*J6/1000,1)</f>
        <v>5</v>
      </c>
      <c r="L6" s="74" t="s">
        <v>0</v>
      </c>
      <c r="M6" s="51"/>
      <c r="N6" s="52">
        <f>K6*M6</f>
        <v>0</v>
      </c>
      <c r="O6" s="375" t="s">
        <v>248</v>
      </c>
      <c r="P6" s="22" t="s">
        <v>249</v>
      </c>
      <c r="Q6" s="22">
        <v>28</v>
      </c>
      <c r="R6" s="75">
        <f aca="true" t="shared" si="0" ref="R6:R12">ROUND($AE$1*Q6/1000,1)</f>
        <v>2</v>
      </c>
      <c r="S6" s="97" t="s">
        <v>0</v>
      </c>
      <c r="T6" s="51"/>
      <c r="U6" s="174">
        <f>R6*T6</f>
        <v>0</v>
      </c>
      <c r="V6" s="398" t="s">
        <v>107</v>
      </c>
      <c r="W6" s="22" t="s">
        <v>37</v>
      </c>
      <c r="X6" s="22">
        <v>10</v>
      </c>
      <c r="Y6" s="75">
        <f>ROUND($AE$1*X6/1000,1)</f>
        <v>0.7</v>
      </c>
      <c r="Z6" s="74" t="s">
        <v>0</v>
      </c>
      <c r="AA6" s="51"/>
      <c r="AB6" s="174">
        <f>Y6*AA6</f>
        <v>0</v>
      </c>
      <c r="AC6" s="375" t="s">
        <v>179</v>
      </c>
      <c r="AD6" s="22" t="s">
        <v>167</v>
      </c>
      <c r="AE6" s="22">
        <v>6</v>
      </c>
      <c r="AF6" s="75" t="s">
        <v>21</v>
      </c>
      <c r="AG6" s="75" t="s">
        <v>0</v>
      </c>
      <c r="AH6" s="156"/>
      <c r="AI6" s="174"/>
      <c r="AO6" s="498"/>
      <c r="AP6" s="28"/>
      <c r="AQ6" s="28"/>
      <c r="AR6" s="75"/>
      <c r="AS6" s="74"/>
    </row>
    <row r="7" spans="1:50" s="50" customFormat="1" ht="18.75" customHeight="1">
      <c r="A7" s="376"/>
      <c r="B7" s="193" t="s">
        <v>157</v>
      </c>
      <c r="C7" s="194"/>
      <c r="D7" s="93"/>
      <c r="E7" s="97"/>
      <c r="F7" s="51"/>
      <c r="G7" s="52">
        <f>D7*F7</f>
        <v>0</v>
      </c>
      <c r="H7" s="376"/>
      <c r="I7" s="22" t="s">
        <v>243</v>
      </c>
      <c r="J7" s="23">
        <v>20</v>
      </c>
      <c r="K7" s="75">
        <f>ROUND($AE$1*J7/1000,1)</f>
        <v>1.4</v>
      </c>
      <c r="L7" s="74" t="s">
        <v>0</v>
      </c>
      <c r="M7" s="51"/>
      <c r="N7" s="52">
        <f aca="true" t="shared" si="1" ref="N7:N15">K7*M7</f>
        <v>0</v>
      </c>
      <c r="O7" s="376"/>
      <c r="P7" s="22" t="s">
        <v>250</v>
      </c>
      <c r="Q7" s="22">
        <v>20</v>
      </c>
      <c r="R7" s="75">
        <f t="shared" si="0"/>
        <v>1.4</v>
      </c>
      <c r="S7" s="97" t="s">
        <v>0</v>
      </c>
      <c r="T7" s="51"/>
      <c r="U7" s="174">
        <f aca="true" t="shared" si="2" ref="U7:U15">R7*T7</f>
        <v>0</v>
      </c>
      <c r="V7" s="399"/>
      <c r="W7" s="172" t="s">
        <v>16</v>
      </c>
      <c r="X7" s="22">
        <v>12</v>
      </c>
      <c r="Y7" s="75">
        <f>ROUND($AE$1*X7/300,0)</f>
        <v>3</v>
      </c>
      <c r="Z7" s="74" t="s">
        <v>19</v>
      </c>
      <c r="AA7" s="51"/>
      <c r="AB7" s="174">
        <f aca="true" t="shared" si="3" ref="AB7:AB24">Y7*AA7</f>
        <v>0</v>
      </c>
      <c r="AC7" s="376"/>
      <c r="AD7" s="22" t="s">
        <v>180</v>
      </c>
      <c r="AE7" s="22">
        <v>10</v>
      </c>
      <c r="AF7" s="75">
        <v>3</v>
      </c>
      <c r="AG7" s="75" t="s">
        <v>0</v>
      </c>
      <c r="AH7" s="156"/>
      <c r="AI7" s="174">
        <f aca="true" t="shared" si="4" ref="AI7:AI24">AF7*AH7</f>
        <v>0</v>
      </c>
      <c r="AO7" s="498"/>
      <c r="AP7" s="499" t="s">
        <v>288</v>
      </c>
      <c r="AQ7" s="500"/>
      <c r="AR7" s="500"/>
      <c r="AS7" s="501"/>
      <c r="AT7" s="511" t="s">
        <v>241</v>
      </c>
      <c r="AU7" s="22" t="s">
        <v>242</v>
      </c>
      <c r="AV7" s="23">
        <v>70</v>
      </c>
      <c r="AW7" s="75">
        <f>ROUND($AE$1*AV7/1000,1)</f>
        <v>5</v>
      </c>
      <c r="AX7" s="74" t="s">
        <v>0</v>
      </c>
    </row>
    <row r="8" spans="1:50" s="50" customFormat="1" ht="18.75" customHeight="1">
      <c r="A8" s="376"/>
      <c r="B8" s="76" t="s">
        <v>289</v>
      </c>
      <c r="C8" s="55">
        <v>128</v>
      </c>
      <c r="D8" s="75">
        <f>ROUND($AE$1*C8/1000,0)</f>
        <v>9</v>
      </c>
      <c r="E8" s="75" t="s">
        <v>48</v>
      </c>
      <c r="F8" s="51"/>
      <c r="G8" s="52">
        <f>D8*F8</f>
        <v>0</v>
      </c>
      <c r="H8" s="376"/>
      <c r="I8" s="22" t="s">
        <v>244</v>
      </c>
      <c r="J8" s="23">
        <v>10</v>
      </c>
      <c r="K8" s="75">
        <f>ROUND($AE$1*J8/1000,1)</f>
        <v>0.7</v>
      </c>
      <c r="L8" s="74" t="s">
        <v>0</v>
      </c>
      <c r="M8" s="51"/>
      <c r="N8" s="52">
        <f t="shared" si="1"/>
        <v>0</v>
      </c>
      <c r="O8" s="376"/>
      <c r="P8" s="22" t="s">
        <v>70</v>
      </c>
      <c r="Q8" s="22">
        <v>1.5</v>
      </c>
      <c r="R8" s="75">
        <f t="shared" si="0"/>
        <v>0.1</v>
      </c>
      <c r="S8" s="97" t="s">
        <v>0</v>
      </c>
      <c r="T8" s="51"/>
      <c r="U8" s="174">
        <f t="shared" si="2"/>
        <v>0</v>
      </c>
      <c r="V8" s="399"/>
      <c r="W8" s="201" t="s">
        <v>186</v>
      </c>
      <c r="X8" s="201">
        <v>15</v>
      </c>
      <c r="Y8" s="75">
        <f>ROUND($AE$1*X8/600,0)</f>
        <v>2</v>
      </c>
      <c r="Z8" s="203" t="s">
        <v>22</v>
      </c>
      <c r="AA8" s="51"/>
      <c r="AB8" s="174">
        <f t="shared" si="3"/>
        <v>0</v>
      </c>
      <c r="AC8" s="376"/>
      <c r="AD8" s="22" t="s">
        <v>1</v>
      </c>
      <c r="AE8" s="22">
        <v>30</v>
      </c>
      <c r="AF8" s="75">
        <f>ROUND($AE$1*AE8/1000,1)</f>
        <v>2.2</v>
      </c>
      <c r="AG8" s="75" t="s">
        <v>0</v>
      </c>
      <c r="AH8" s="156"/>
      <c r="AI8" s="174">
        <f t="shared" si="4"/>
        <v>0</v>
      </c>
      <c r="AO8" s="498"/>
      <c r="AP8" s="59"/>
      <c r="AQ8" s="59"/>
      <c r="AR8" s="75"/>
      <c r="AS8" s="74"/>
      <c r="AT8" s="512"/>
      <c r="AU8" s="22" t="s">
        <v>243</v>
      </c>
      <c r="AV8" s="23">
        <v>20</v>
      </c>
      <c r="AW8" s="75">
        <f>ROUND($AE$1*AV8/1000,1)</f>
        <v>1.4</v>
      </c>
      <c r="AX8" s="74" t="s">
        <v>0</v>
      </c>
    </row>
    <row r="9" spans="1:50" s="50" customFormat="1" ht="18.75" customHeight="1">
      <c r="A9" s="376"/>
      <c r="B9" s="27"/>
      <c r="C9" s="56"/>
      <c r="D9" s="93"/>
      <c r="E9" s="93"/>
      <c r="F9" s="51"/>
      <c r="G9" s="52">
        <f aca="true" t="shared" si="5" ref="G9:G15">D9*F9</f>
        <v>0</v>
      </c>
      <c r="H9" s="376"/>
      <c r="I9" s="22" t="s">
        <v>245</v>
      </c>
      <c r="J9" s="22">
        <v>10</v>
      </c>
      <c r="K9" s="75">
        <v>3</v>
      </c>
      <c r="L9" s="74" t="s">
        <v>0</v>
      </c>
      <c r="M9" s="51"/>
      <c r="N9" s="52">
        <f t="shared" si="1"/>
        <v>0</v>
      </c>
      <c r="O9" s="376"/>
      <c r="P9" s="22" t="s">
        <v>251</v>
      </c>
      <c r="Q9" s="22">
        <v>5</v>
      </c>
      <c r="R9" s="75">
        <f t="shared" si="0"/>
        <v>0.4</v>
      </c>
      <c r="S9" s="97" t="s">
        <v>0</v>
      </c>
      <c r="T9" s="51"/>
      <c r="U9" s="174">
        <f t="shared" si="2"/>
        <v>0</v>
      </c>
      <c r="V9" s="399"/>
      <c r="W9" s="22" t="s">
        <v>164</v>
      </c>
      <c r="X9" s="22">
        <v>15</v>
      </c>
      <c r="Y9" s="75" t="s">
        <v>21</v>
      </c>
      <c r="Z9" s="74" t="s">
        <v>0</v>
      </c>
      <c r="AA9" s="51"/>
      <c r="AB9" s="174"/>
      <c r="AC9" s="376"/>
      <c r="AD9" s="22" t="s">
        <v>62</v>
      </c>
      <c r="AE9" s="22">
        <v>6</v>
      </c>
      <c r="AF9" s="75">
        <f>ROUND($AE$1*AE9/1000,1)</f>
        <v>0.4</v>
      </c>
      <c r="AG9" s="75" t="s">
        <v>0</v>
      </c>
      <c r="AH9" s="156"/>
      <c r="AI9" s="174">
        <f t="shared" si="4"/>
        <v>0</v>
      </c>
      <c r="AO9" s="498"/>
      <c r="AP9" s="59"/>
      <c r="AQ9" s="59"/>
      <c r="AR9" s="319"/>
      <c r="AS9" s="126"/>
      <c r="AT9" s="512"/>
      <c r="AU9" s="22" t="s">
        <v>244</v>
      </c>
      <c r="AV9" s="23">
        <v>10</v>
      </c>
      <c r="AW9" s="75">
        <f>ROUND($AE$1*AV9/1000,1)</f>
        <v>0.7</v>
      </c>
      <c r="AX9" s="74" t="s">
        <v>0</v>
      </c>
    </row>
    <row r="10" spans="1:50" s="50" customFormat="1" ht="18.75" customHeight="1">
      <c r="A10" s="376"/>
      <c r="B10" s="22"/>
      <c r="C10" s="22"/>
      <c r="D10" s="75"/>
      <c r="E10" s="75"/>
      <c r="F10" s="51"/>
      <c r="G10" s="52">
        <f t="shared" si="5"/>
        <v>0</v>
      </c>
      <c r="H10" s="376"/>
      <c r="I10" s="22" t="s">
        <v>246</v>
      </c>
      <c r="J10" s="23">
        <v>30</v>
      </c>
      <c r="K10" s="75">
        <f>ROUND($AE$1*J10/1000,1)</f>
        <v>2.2</v>
      </c>
      <c r="L10" s="74" t="s">
        <v>0</v>
      </c>
      <c r="M10" s="51"/>
      <c r="N10" s="52">
        <f t="shared" si="1"/>
        <v>0</v>
      </c>
      <c r="O10" s="376"/>
      <c r="P10" s="53" t="s">
        <v>199</v>
      </c>
      <c r="Q10" s="53">
        <v>70</v>
      </c>
      <c r="R10" s="75">
        <f t="shared" si="0"/>
        <v>5</v>
      </c>
      <c r="S10" s="97" t="s">
        <v>0</v>
      </c>
      <c r="T10" s="51"/>
      <c r="U10" s="174">
        <f t="shared" si="2"/>
        <v>0</v>
      </c>
      <c r="V10" s="399"/>
      <c r="W10" s="22" t="s">
        <v>92</v>
      </c>
      <c r="X10" s="22">
        <v>1.5</v>
      </c>
      <c r="Y10" s="75" t="s">
        <v>21</v>
      </c>
      <c r="Z10" s="74" t="s">
        <v>0</v>
      </c>
      <c r="AA10" s="51"/>
      <c r="AB10" s="174"/>
      <c r="AC10" s="376"/>
      <c r="AD10" s="22" t="s">
        <v>194</v>
      </c>
      <c r="AE10" s="22">
        <v>0.33</v>
      </c>
      <c r="AF10" s="75">
        <f>ROUND($AE$1*AE10/12,1)</f>
        <v>2</v>
      </c>
      <c r="AG10" s="75" t="s">
        <v>20</v>
      </c>
      <c r="AH10" s="156"/>
      <c r="AI10" s="174">
        <f t="shared" si="4"/>
        <v>0</v>
      </c>
      <c r="AT10" s="512"/>
      <c r="AU10" s="22" t="s">
        <v>245</v>
      </c>
      <c r="AV10" s="22">
        <v>10</v>
      </c>
      <c r="AW10" s="75">
        <v>3</v>
      </c>
      <c r="AX10" s="74" t="s">
        <v>0</v>
      </c>
    </row>
    <row r="11" spans="1:50" s="50" customFormat="1" ht="18.75" customHeight="1">
      <c r="A11" s="376"/>
      <c r="B11" s="22"/>
      <c r="C11" s="22"/>
      <c r="D11" s="75"/>
      <c r="E11" s="75"/>
      <c r="F11" s="51"/>
      <c r="G11" s="52">
        <f t="shared" si="5"/>
        <v>0</v>
      </c>
      <c r="H11" s="376"/>
      <c r="I11" s="22" t="s">
        <v>62</v>
      </c>
      <c r="J11" s="22">
        <v>10</v>
      </c>
      <c r="K11" s="75">
        <f>ROUND($AE$1*J11/1000,1)</f>
        <v>0.7</v>
      </c>
      <c r="L11" s="74" t="s">
        <v>0</v>
      </c>
      <c r="M11" s="51"/>
      <c r="N11" s="52">
        <f t="shared" si="1"/>
        <v>0</v>
      </c>
      <c r="O11" s="376"/>
      <c r="P11" s="22" t="s">
        <v>252</v>
      </c>
      <c r="Q11" s="53">
        <v>33</v>
      </c>
      <c r="R11" s="75">
        <f t="shared" si="0"/>
        <v>2.4</v>
      </c>
      <c r="S11" s="97" t="s">
        <v>0</v>
      </c>
      <c r="T11" s="51"/>
      <c r="U11" s="174">
        <f t="shared" si="2"/>
        <v>0</v>
      </c>
      <c r="V11" s="399"/>
      <c r="W11" s="59" t="s">
        <v>62</v>
      </c>
      <c r="X11" s="22">
        <v>12</v>
      </c>
      <c r="Y11" s="75">
        <f>ROUND($AE$1*X11/1000,1)</f>
        <v>0.9</v>
      </c>
      <c r="Z11" s="74" t="s">
        <v>0</v>
      </c>
      <c r="AA11" s="51"/>
      <c r="AB11" s="174">
        <f t="shared" si="3"/>
        <v>0</v>
      </c>
      <c r="AC11" s="376"/>
      <c r="AD11" s="22" t="s">
        <v>69</v>
      </c>
      <c r="AE11" s="22">
        <v>6</v>
      </c>
      <c r="AF11" s="75">
        <f>ROUND($AE$1*AE11/1000,1)</f>
        <v>0.4</v>
      </c>
      <c r="AG11" s="75" t="s">
        <v>0</v>
      </c>
      <c r="AH11" s="156"/>
      <c r="AI11" s="174">
        <f t="shared" si="4"/>
        <v>0</v>
      </c>
      <c r="AT11" s="512"/>
      <c r="AU11" s="22" t="s">
        <v>246</v>
      </c>
      <c r="AV11" s="23">
        <v>30</v>
      </c>
      <c r="AW11" s="75">
        <f>ROUND($AE$1*AV11/1000,1)</f>
        <v>2.2</v>
      </c>
      <c r="AX11" s="74" t="s">
        <v>0</v>
      </c>
    </row>
    <row r="12" spans="1:50" s="40" customFormat="1" ht="18.75" customHeight="1">
      <c r="A12" s="376"/>
      <c r="B12" s="22"/>
      <c r="C12" s="22"/>
      <c r="D12" s="93"/>
      <c r="E12" s="97"/>
      <c r="F12" s="51"/>
      <c r="G12" s="52"/>
      <c r="H12" s="376"/>
      <c r="I12" s="27"/>
      <c r="J12" s="28"/>
      <c r="K12" s="75"/>
      <c r="L12" s="74"/>
      <c r="M12" s="51"/>
      <c r="N12" s="52">
        <f t="shared" si="1"/>
        <v>0</v>
      </c>
      <c r="O12" s="376"/>
      <c r="P12" s="22" t="s">
        <v>69</v>
      </c>
      <c r="Q12" s="184">
        <v>5</v>
      </c>
      <c r="R12" s="75">
        <f t="shared" si="0"/>
        <v>0.4</v>
      </c>
      <c r="S12" s="97" t="s">
        <v>0</v>
      </c>
      <c r="T12" s="51"/>
      <c r="U12" s="174">
        <f t="shared" si="2"/>
        <v>0</v>
      </c>
      <c r="V12" s="399"/>
      <c r="W12" s="59" t="s">
        <v>177</v>
      </c>
      <c r="X12" s="22">
        <v>20</v>
      </c>
      <c r="Y12" s="75">
        <f>ROUND($AE$1*X12/1000,1)</f>
        <v>1.4</v>
      </c>
      <c r="Z12" s="74" t="s">
        <v>0</v>
      </c>
      <c r="AA12" s="51"/>
      <c r="AB12" s="174">
        <f t="shared" si="3"/>
        <v>0</v>
      </c>
      <c r="AC12" s="376"/>
      <c r="AD12" s="22" t="s">
        <v>79</v>
      </c>
      <c r="AE12" s="22">
        <v>0.5</v>
      </c>
      <c r="AF12" s="75" t="s">
        <v>21</v>
      </c>
      <c r="AG12" s="75" t="s">
        <v>0</v>
      </c>
      <c r="AH12" s="156"/>
      <c r="AI12" s="174"/>
      <c r="AT12" s="512"/>
      <c r="AU12" s="22" t="s">
        <v>62</v>
      </c>
      <c r="AV12" s="22">
        <v>10</v>
      </c>
      <c r="AW12" s="75">
        <f>ROUND($AE$1*AV12/1000,1)</f>
        <v>0.7</v>
      </c>
      <c r="AX12" s="74" t="s">
        <v>0</v>
      </c>
    </row>
    <row r="13" spans="1:50" s="50" customFormat="1" ht="18.75" customHeight="1">
      <c r="A13" s="376"/>
      <c r="B13" s="22"/>
      <c r="C13" s="22"/>
      <c r="D13" s="93"/>
      <c r="E13" s="97"/>
      <c r="F13" s="51"/>
      <c r="G13" s="52">
        <f t="shared" si="5"/>
        <v>0</v>
      </c>
      <c r="H13" s="376"/>
      <c r="I13" s="29"/>
      <c r="J13" s="29"/>
      <c r="K13" s="25"/>
      <c r="L13" s="26"/>
      <c r="M13" s="51"/>
      <c r="N13" s="52">
        <f t="shared" si="1"/>
        <v>0</v>
      </c>
      <c r="O13" s="376"/>
      <c r="P13" s="184"/>
      <c r="Q13" s="184"/>
      <c r="R13" s="75"/>
      <c r="S13" s="75"/>
      <c r="T13" s="51"/>
      <c r="U13" s="174">
        <f t="shared" si="2"/>
        <v>0</v>
      </c>
      <c r="V13" s="399"/>
      <c r="W13" s="59"/>
      <c r="X13" s="59"/>
      <c r="Y13" s="75"/>
      <c r="Z13" s="74"/>
      <c r="AA13" s="51"/>
      <c r="AB13" s="174">
        <f t="shared" si="3"/>
        <v>0</v>
      </c>
      <c r="AC13" s="376"/>
      <c r="AD13" s="22"/>
      <c r="AE13" s="22"/>
      <c r="AF13" s="75"/>
      <c r="AG13" s="75"/>
      <c r="AH13" s="156"/>
      <c r="AI13" s="174">
        <f t="shared" si="4"/>
        <v>0</v>
      </c>
      <c r="AT13" s="512"/>
      <c r="AU13" s="27"/>
      <c r="AV13" s="28"/>
      <c r="AW13" s="75"/>
      <c r="AX13" s="74"/>
    </row>
    <row r="14" spans="1:50" s="50" customFormat="1" ht="18.75" customHeight="1">
      <c r="A14" s="376"/>
      <c r="B14" s="22"/>
      <c r="C14" s="22"/>
      <c r="D14" s="93"/>
      <c r="E14" s="97"/>
      <c r="F14" s="51"/>
      <c r="G14" s="52">
        <f t="shared" si="5"/>
        <v>0</v>
      </c>
      <c r="H14" s="376"/>
      <c r="I14" s="29"/>
      <c r="J14" s="29"/>
      <c r="K14" s="25"/>
      <c r="L14" s="26"/>
      <c r="M14" s="51"/>
      <c r="N14" s="52">
        <f t="shared" si="1"/>
        <v>0</v>
      </c>
      <c r="O14" s="376"/>
      <c r="P14" s="318"/>
      <c r="Q14" s="318"/>
      <c r="R14" s="75"/>
      <c r="S14" s="75"/>
      <c r="T14" s="51"/>
      <c r="U14" s="174">
        <f t="shared" si="2"/>
        <v>0</v>
      </c>
      <c r="V14" s="399"/>
      <c r="W14" s="59"/>
      <c r="X14" s="59"/>
      <c r="Y14" s="75"/>
      <c r="Z14" s="74"/>
      <c r="AA14" s="51"/>
      <c r="AB14" s="174">
        <f t="shared" si="3"/>
        <v>0</v>
      </c>
      <c r="AC14" s="376"/>
      <c r="AD14" s="80"/>
      <c r="AE14" s="53"/>
      <c r="AF14" s="75"/>
      <c r="AG14" s="75"/>
      <c r="AH14" s="156"/>
      <c r="AI14" s="174">
        <f t="shared" si="4"/>
        <v>0</v>
      </c>
      <c r="AT14" s="512"/>
      <c r="AU14" s="29"/>
      <c r="AV14" s="29"/>
      <c r="AW14" s="25"/>
      <c r="AX14" s="26"/>
    </row>
    <row r="15" spans="1:50" s="50" customFormat="1" ht="18.75" customHeight="1">
      <c r="A15" s="376"/>
      <c r="B15" s="22"/>
      <c r="C15" s="22"/>
      <c r="D15" s="93"/>
      <c r="E15" s="97"/>
      <c r="F15" s="51"/>
      <c r="G15" s="52">
        <f t="shared" si="5"/>
        <v>0</v>
      </c>
      <c r="H15" s="437"/>
      <c r="I15" s="29"/>
      <c r="J15" s="29"/>
      <c r="K15" s="25"/>
      <c r="L15" s="26"/>
      <c r="M15" s="51"/>
      <c r="N15" s="52">
        <f t="shared" si="1"/>
        <v>0</v>
      </c>
      <c r="O15" s="482"/>
      <c r="P15" s="318"/>
      <c r="Q15" s="318"/>
      <c r="R15" s="75"/>
      <c r="S15" s="75"/>
      <c r="T15" s="51"/>
      <c r="U15" s="174">
        <f t="shared" si="2"/>
        <v>0</v>
      </c>
      <c r="V15" s="399"/>
      <c r="W15" s="22"/>
      <c r="X15" s="22"/>
      <c r="Y15" s="75"/>
      <c r="Z15" s="74"/>
      <c r="AA15" s="51"/>
      <c r="AB15" s="174">
        <f t="shared" si="3"/>
        <v>0</v>
      </c>
      <c r="AC15" s="376"/>
      <c r="AD15" s="62"/>
      <c r="AE15" s="62"/>
      <c r="AF15" s="75"/>
      <c r="AG15" s="347"/>
      <c r="AH15" s="156"/>
      <c r="AI15" s="174">
        <f t="shared" si="4"/>
        <v>0</v>
      </c>
      <c r="AT15" s="512"/>
      <c r="AU15" s="29"/>
      <c r="AV15" s="29"/>
      <c r="AW15" s="25"/>
      <c r="AX15" s="26"/>
    </row>
    <row r="16" spans="1:50" s="50" customFormat="1" ht="18.75" customHeight="1">
      <c r="A16" s="374" t="s">
        <v>39</v>
      </c>
      <c r="B16" s="374"/>
      <c r="C16" s="374"/>
      <c r="D16" s="374"/>
      <c r="E16" s="374"/>
      <c r="F16" s="87"/>
      <c r="G16" s="89"/>
      <c r="H16" s="374" t="s">
        <v>39</v>
      </c>
      <c r="I16" s="374"/>
      <c r="J16" s="374"/>
      <c r="K16" s="374"/>
      <c r="L16" s="374"/>
      <c r="M16" s="87"/>
      <c r="N16" s="89"/>
      <c r="O16" s="377" t="s">
        <v>39</v>
      </c>
      <c r="P16" s="378"/>
      <c r="Q16" s="378"/>
      <c r="R16" s="378"/>
      <c r="S16" s="378"/>
      <c r="T16" s="87"/>
      <c r="U16" s="89"/>
      <c r="V16" s="374" t="s">
        <v>39</v>
      </c>
      <c r="W16" s="374"/>
      <c r="X16" s="374"/>
      <c r="Y16" s="374"/>
      <c r="Z16" s="374"/>
      <c r="AA16" s="87"/>
      <c r="AB16" s="89"/>
      <c r="AC16" s="374" t="s">
        <v>39</v>
      </c>
      <c r="AD16" s="374"/>
      <c r="AE16" s="374"/>
      <c r="AF16" s="374"/>
      <c r="AG16" s="417"/>
      <c r="AH16" s="351"/>
      <c r="AI16" s="200"/>
      <c r="AO16" s="398" t="s">
        <v>107</v>
      </c>
      <c r="AP16" s="22" t="s">
        <v>37</v>
      </c>
      <c r="AQ16" s="22">
        <v>10</v>
      </c>
      <c r="AR16" s="75">
        <f>ROUND($AE$1*AQ16/1000,1)</f>
        <v>0.7</v>
      </c>
      <c r="AS16" s="74" t="s">
        <v>0</v>
      </c>
      <c r="AT16" s="512"/>
      <c r="AU16" s="29"/>
      <c r="AV16" s="29"/>
      <c r="AW16" s="25"/>
      <c r="AX16" s="26"/>
    </row>
    <row r="17" spans="1:50" s="50" customFormat="1" ht="18.75" customHeight="1">
      <c r="A17" s="387" t="s">
        <v>40</v>
      </c>
      <c r="B17" s="28" t="s">
        <v>41</v>
      </c>
      <c r="C17" s="28">
        <v>3.5</v>
      </c>
      <c r="D17" s="75" t="s">
        <v>21</v>
      </c>
      <c r="E17" s="74" t="s">
        <v>0</v>
      </c>
      <c r="F17" s="51"/>
      <c r="G17" s="52"/>
      <c r="H17" s="375" t="s">
        <v>42</v>
      </c>
      <c r="I17" s="28" t="s">
        <v>58</v>
      </c>
      <c r="J17" s="28">
        <v>42</v>
      </c>
      <c r="K17" s="75">
        <f>ROUND($AE$1*J17/1000,1)</f>
        <v>3</v>
      </c>
      <c r="L17" s="99" t="s">
        <v>0</v>
      </c>
      <c r="M17" s="51"/>
      <c r="N17" s="52"/>
      <c r="O17" s="483" t="s">
        <v>178</v>
      </c>
      <c r="P17" s="60" t="s">
        <v>59</v>
      </c>
      <c r="Q17" s="60">
        <v>5.5</v>
      </c>
      <c r="R17" s="60">
        <f>ROUND($AE$1*Q17/300,0)</f>
        <v>1</v>
      </c>
      <c r="S17" s="212" t="s">
        <v>19</v>
      </c>
      <c r="T17" s="51"/>
      <c r="U17" s="174">
        <f aca="true" t="shared" si="6" ref="U17:U24">R16*T17</f>
        <v>0</v>
      </c>
      <c r="V17" s="375" t="s">
        <v>90</v>
      </c>
      <c r="W17" s="58" t="s">
        <v>195</v>
      </c>
      <c r="X17" s="58">
        <v>42</v>
      </c>
      <c r="Y17" s="160">
        <f>ROUND($AE$1*X17/1000,1)</f>
        <v>3</v>
      </c>
      <c r="Z17" s="74" t="s">
        <v>0</v>
      </c>
      <c r="AA17" s="51"/>
      <c r="AB17" s="174">
        <f t="shared" si="3"/>
        <v>0</v>
      </c>
      <c r="AC17" s="468" t="s">
        <v>299</v>
      </c>
      <c r="AD17" s="338" t="s">
        <v>238</v>
      </c>
      <c r="AE17" s="356">
        <v>120</v>
      </c>
      <c r="AF17" s="357" t="s">
        <v>21</v>
      </c>
      <c r="AG17" s="145" t="s">
        <v>48</v>
      </c>
      <c r="AH17" s="156"/>
      <c r="AI17" s="174" t="e">
        <f t="shared" si="4"/>
        <v>#VALUE!</v>
      </c>
      <c r="AO17" s="399"/>
      <c r="AP17" s="172" t="s">
        <v>16</v>
      </c>
      <c r="AQ17" s="22">
        <v>12</v>
      </c>
      <c r="AR17" s="75">
        <f>ROUND($AE$1*AQ17/300,0)</f>
        <v>3</v>
      </c>
      <c r="AS17" s="74" t="s">
        <v>19</v>
      </c>
      <c r="AT17" s="513" t="s">
        <v>39</v>
      </c>
      <c r="AU17" s="374"/>
      <c r="AV17" s="374"/>
      <c r="AW17" s="374"/>
      <c r="AX17" s="374"/>
    </row>
    <row r="18" spans="1:50" s="50" customFormat="1" ht="18.75" customHeight="1">
      <c r="A18" s="388"/>
      <c r="B18" s="28" t="s">
        <v>44</v>
      </c>
      <c r="C18" s="28">
        <v>3.5</v>
      </c>
      <c r="D18" s="75" t="s">
        <v>21</v>
      </c>
      <c r="E18" s="74" t="s">
        <v>0</v>
      </c>
      <c r="F18" s="51"/>
      <c r="G18" s="52"/>
      <c r="H18" s="376"/>
      <c r="I18" s="58" t="s">
        <v>43</v>
      </c>
      <c r="J18" s="58">
        <v>42</v>
      </c>
      <c r="K18" s="160">
        <f>ROUND($AE$1*J18/1000,1)</f>
        <v>3</v>
      </c>
      <c r="L18" s="74" t="s">
        <v>0</v>
      </c>
      <c r="M18" s="51"/>
      <c r="N18" s="52"/>
      <c r="O18" s="483"/>
      <c r="P18" s="60" t="s">
        <v>104</v>
      </c>
      <c r="Q18" s="60">
        <v>17</v>
      </c>
      <c r="R18" s="60">
        <f>ROUND($AE$1*Q18/1000,1)</f>
        <v>1.2</v>
      </c>
      <c r="S18" s="213" t="s">
        <v>2</v>
      </c>
      <c r="T18" s="51"/>
      <c r="U18" s="174">
        <f t="shared" si="6"/>
        <v>0</v>
      </c>
      <c r="V18" s="376"/>
      <c r="W18" s="58" t="s">
        <v>43</v>
      </c>
      <c r="X18" s="58">
        <v>42</v>
      </c>
      <c r="Y18" s="160">
        <f>ROUND($AE$1*X18/1000,1)</f>
        <v>3</v>
      </c>
      <c r="Z18" s="74" t="s">
        <v>0</v>
      </c>
      <c r="AA18" s="51"/>
      <c r="AB18" s="174"/>
      <c r="AC18" s="468"/>
      <c r="AD18" s="339" t="s">
        <v>268</v>
      </c>
      <c r="AE18" s="155"/>
      <c r="AF18" s="93"/>
      <c r="AG18" s="97"/>
      <c r="AH18" s="156"/>
      <c r="AI18" s="174">
        <f t="shared" si="4"/>
        <v>0</v>
      </c>
      <c r="AO18" s="399"/>
      <c r="AP18" s="201" t="s">
        <v>186</v>
      </c>
      <c r="AQ18" s="201">
        <v>15</v>
      </c>
      <c r="AR18" s="202">
        <v>2</v>
      </c>
      <c r="AS18" s="203" t="s">
        <v>22</v>
      </c>
      <c r="AT18" s="511" t="s">
        <v>42</v>
      </c>
      <c r="AU18" s="28" t="s">
        <v>58</v>
      </c>
      <c r="AV18" s="28">
        <v>50</v>
      </c>
      <c r="AW18" s="75">
        <f>ROUND($AE$1*AV18/1000,1)</f>
        <v>3.6</v>
      </c>
      <c r="AX18" s="99" t="s">
        <v>0</v>
      </c>
    </row>
    <row r="19" spans="1:50" s="50" customFormat="1" ht="18.75" customHeight="1">
      <c r="A19" s="388"/>
      <c r="B19" s="28" t="s">
        <v>46</v>
      </c>
      <c r="C19" s="28">
        <v>7</v>
      </c>
      <c r="D19" s="75" t="s">
        <v>21</v>
      </c>
      <c r="E19" s="74" t="s">
        <v>0</v>
      </c>
      <c r="F19" s="51"/>
      <c r="G19" s="52"/>
      <c r="H19" s="376"/>
      <c r="I19" s="27" t="s">
        <v>176</v>
      </c>
      <c r="J19" s="28">
        <v>42</v>
      </c>
      <c r="K19" s="75">
        <f>ROUND($AE$1*J19/1000,1)</f>
        <v>3</v>
      </c>
      <c r="L19" s="74" t="s">
        <v>0</v>
      </c>
      <c r="M19" s="51"/>
      <c r="N19" s="52"/>
      <c r="O19" s="483"/>
      <c r="P19" s="60" t="s">
        <v>23</v>
      </c>
      <c r="Q19" s="60">
        <v>10</v>
      </c>
      <c r="R19" s="60">
        <f>ROUND($AE$1*Q19/1000,1)</f>
        <v>0.7</v>
      </c>
      <c r="S19" s="213" t="s">
        <v>2</v>
      </c>
      <c r="T19" s="51"/>
      <c r="U19" s="174">
        <f t="shared" si="6"/>
        <v>0</v>
      </c>
      <c r="V19" s="376"/>
      <c r="W19" s="78" t="s">
        <v>17</v>
      </c>
      <c r="X19" s="58">
        <v>42</v>
      </c>
      <c r="Y19" s="160">
        <f>ROUND($AE$1*X19/1000,1)</f>
        <v>3</v>
      </c>
      <c r="Z19" s="74" t="s">
        <v>0</v>
      </c>
      <c r="AA19" s="51"/>
      <c r="AB19" s="174">
        <f t="shared" si="3"/>
        <v>0</v>
      </c>
      <c r="AC19" s="468"/>
      <c r="AD19" s="253" t="s">
        <v>300</v>
      </c>
      <c r="AE19" s="253">
        <v>15</v>
      </c>
      <c r="AF19" s="271" t="s">
        <v>21</v>
      </c>
      <c r="AG19" s="255" t="s">
        <v>301</v>
      </c>
      <c r="AH19" s="156"/>
      <c r="AI19" s="174" t="e">
        <f t="shared" si="4"/>
        <v>#VALUE!</v>
      </c>
      <c r="AO19" s="399"/>
      <c r="AP19" s="22" t="s">
        <v>164</v>
      </c>
      <c r="AQ19" s="22">
        <v>15</v>
      </c>
      <c r="AR19" s="75" t="s">
        <v>21</v>
      </c>
      <c r="AS19" s="74" t="s">
        <v>0</v>
      </c>
      <c r="AT19" s="512"/>
      <c r="AU19" s="58" t="s">
        <v>43</v>
      </c>
      <c r="AV19" s="58">
        <v>50</v>
      </c>
      <c r="AW19" s="160">
        <f>ROUND($AE$1*AV19/1000,1)</f>
        <v>3.6</v>
      </c>
      <c r="AX19" s="74" t="s">
        <v>0</v>
      </c>
    </row>
    <row r="20" spans="1:50" s="50" customFormat="1" ht="18.75" customHeight="1">
      <c r="A20" s="388"/>
      <c r="B20" s="28" t="s">
        <v>47</v>
      </c>
      <c r="C20" s="28">
        <v>3.5</v>
      </c>
      <c r="D20" s="75" t="s">
        <v>21</v>
      </c>
      <c r="E20" s="74" t="s">
        <v>0</v>
      </c>
      <c r="F20" s="51"/>
      <c r="G20" s="52"/>
      <c r="H20" s="376"/>
      <c r="I20" s="22"/>
      <c r="J20" s="22"/>
      <c r="K20" s="93"/>
      <c r="L20" s="97"/>
      <c r="M20" s="51"/>
      <c r="N20" s="52"/>
      <c r="O20" s="483"/>
      <c r="P20" s="60" t="s">
        <v>186</v>
      </c>
      <c r="Q20" s="60">
        <v>8</v>
      </c>
      <c r="R20" s="60">
        <f>ROUND($AE$1*Q20/600,1)</f>
        <v>1</v>
      </c>
      <c r="S20" s="213" t="s">
        <v>22</v>
      </c>
      <c r="T20" s="51"/>
      <c r="U20" s="174">
        <f t="shared" si="6"/>
        <v>0</v>
      </c>
      <c r="V20" s="376"/>
      <c r="W20" s="161"/>
      <c r="X20" s="161"/>
      <c r="Y20" s="75"/>
      <c r="Z20" s="74"/>
      <c r="AA20" s="51"/>
      <c r="AB20" s="174">
        <f t="shared" si="3"/>
        <v>0</v>
      </c>
      <c r="AC20" s="468"/>
      <c r="AD20" s="266" t="s">
        <v>187</v>
      </c>
      <c r="AE20" s="266"/>
      <c r="AF20" s="271" t="s">
        <v>21</v>
      </c>
      <c r="AG20" s="255" t="s">
        <v>20</v>
      </c>
      <c r="AH20" s="156"/>
      <c r="AI20" s="174" t="e">
        <f t="shared" si="4"/>
        <v>#VALUE!</v>
      </c>
      <c r="AO20" s="399"/>
      <c r="AP20" s="22" t="s">
        <v>92</v>
      </c>
      <c r="AQ20" s="22">
        <v>1.5</v>
      </c>
      <c r="AR20" s="75" t="s">
        <v>21</v>
      </c>
      <c r="AS20" s="74" t="s">
        <v>0</v>
      </c>
      <c r="AT20" s="512"/>
      <c r="AU20" s="27" t="s">
        <v>176</v>
      </c>
      <c r="AV20" s="28">
        <v>40</v>
      </c>
      <c r="AW20" s="75">
        <f>ROUND($AE$1*AV20/1000,1)</f>
        <v>2.9</v>
      </c>
      <c r="AX20" s="74" t="s">
        <v>0</v>
      </c>
    </row>
    <row r="21" spans="1:50" s="50" customFormat="1" ht="18.75" customHeight="1">
      <c r="A21" s="388"/>
      <c r="B21" s="28" t="s">
        <v>49</v>
      </c>
      <c r="C21" s="28">
        <v>3.5</v>
      </c>
      <c r="D21" s="75" t="s">
        <v>21</v>
      </c>
      <c r="E21" s="74" t="s">
        <v>0</v>
      </c>
      <c r="F21" s="51"/>
      <c r="G21" s="52"/>
      <c r="H21" s="376"/>
      <c r="I21" s="60" t="s">
        <v>238</v>
      </c>
      <c r="J21" s="52">
        <v>128</v>
      </c>
      <c r="K21" s="75">
        <f>ROUND($AE$1*J21/1000,0)</f>
        <v>9</v>
      </c>
      <c r="L21" s="61" t="s">
        <v>48</v>
      </c>
      <c r="M21" s="51"/>
      <c r="N21" s="52"/>
      <c r="O21" s="483"/>
      <c r="P21" s="60" t="s">
        <v>105</v>
      </c>
      <c r="Q21" s="60">
        <v>10</v>
      </c>
      <c r="R21" s="60">
        <f>ROUND($AE$1*Q21/300,0)</f>
        <v>2</v>
      </c>
      <c r="S21" s="213" t="s">
        <v>19</v>
      </c>
      <c r="T21" s="51"/>
      <c r="U21" s="174">
        <f t="shared" si="6"/>
        <v>0</v>
      </c>
      <c r="V21" s="376"/>
      <c r="W21" s="338" t="s">
        <v>238</v>
      </c>
      <c r="X21" s="52">
        <v>128</v>
      </c>
      <c r="Y21" s="75" t="s">
        <v>21</v>
      </c>
      <c r="Z21" s="61" t="s">
        <v>48</v>
      </c>
      <c r="AA21" s="51"/>
      <c r="AB21" s="174"/>
      <c r="AC21" s="468"/>
      <c r="AD21" s="266" t="s">
        <v>296</v>
      </c>
      <c r="AE21" s="325">
        <v>69</v>
      </c>
      <c r="AF21" s="252">
        <f>ROUND($AF$1*AE21/1000,1)</f>
        <v>5</v>
      </c>
      <c r="AG21" s="255" t="s">
        <v>0</v>
      </c>
      <c r="AH21" s="156"/>
      <c r="AI21" s="174">
        <f t="shared" si="4"/>
        <v>0</v>
      </c>
      <c r="AO21" s="399"/>
      <c r="AP21" s="59" t="s">
        <v>62</v>
      </c>
      <c r="AQ21" s="22">
        <v>12</v>
      </c>
      <c r="AR21" s="75">
        <f>ROUND($AE$1*AQ21/1000,1)</f>
        <v>0.9</v>
      </c>
      <c r="AS21" s="74" t="s">
        <v>0</v>
      </c>
      <c r="AT21" s="512"/>
      <c r="AU21" s="22"/>
      <c r="AV21" s="22"/>
      <c r="AW21" s="93"/>
      <c r="AX21" s="97"/>
    </row>
    <row r="22" spans="1:50" s="50" customFormat="1" ht="18.75" customHeight="1">
      <c r="A22" s="388"/>
      <c r="B22" s="22" t="s">
        <v>187</v>
      </c>
      <c r="C22" s="22">
        <v>40</v>
      </c>
      <c r="D22" s="75">
        <v>2</v>
      </c>
      <c r="E22" s="74" t="s">
        <v>20</v>
      </c>
      <c r="F22" s="162"/>
      <c r="G22" s="52">
        <f>D22*F22</f>
        <v>0</v>
      </c>
      <c r="H22" s="376"/>
      <c r="I22" s="22"/>
      <c r="J22" s="22"/>
      <c r="K22" s="93"/>
      <c r="L22" s="97"/>
      <c r="M22" s="162"/>
      <c r="N22" s="52">
        <f>K22*M22</f>
        <v>0</v>
      </c>
      <c r="O22" s="483"/>
      <c r="P22" s="338" t="s">
        <v>238</v>
      </c>
      <c r="Q22" s="60">
        <v>20</v>
      </c>
      <c r="R22" s="60">
        <f>ROUND($AE$1*Q22/1000,0)</f>
        <v>1</v>
      </c>
      <c r="S22" s="213" t="s">
        <v>19</v>
      </c>
      <c r="T22" s="162"/>
      <c r="U22" s="174">
        <f t="shared" si="6"/>
        <v>0</v>
      </c>
      <c r="V22" s="376"/>
      <c r="W22" s="339" t="s">
        <v>268</v>
      </c>
      <c r="X22" s="22"/>
      <c r="Y22" s="93"/>
      <c r="Z22" s="97"/>
      <c r="AA22" s="162"/>
      <c r="AB22" s="174">
        <f t="shared" si="3"/>
        <v>0</v>
      </c>
      <c r="AC22" s="468"/>
      <c r="AD22" s="502" t="s">
        <v>302</v>
      </c>
      <c r="AE22" s="503"/>
      <c r="AF22" s="503"/>
      <c r="AG22" s="504"/>
      <c r="AH22" s="352"/>
      <c r="AI22" s="174"/>
      <c r="AO22" s="399"/>
      <c r="AP22" s="59" t="s">
        <v>177</v>
      </c>
      <c r="AQ22" s="22">
        <v>20</v>
      </c>
      <c r="AR22" s="75">
        <f>ROUND($AE$1*AQ22/1000,1)</f>
        <v>1.4</v>
      </c>
      <c r="AS22" s="74" t="s">
        <v>0</v>
      </c>
      <c r="AT22" s="512"/>
      <c r="AU22" s="60" t="s">
        <v>13</v>
      </c>
      <c r="AV22" s="52">
        <v>133</v>
      </c>
      <c r="AW22" s="52">
        <v>4</v>
      </c>
      <c r="AX22" s="61" t="s">
        <v>48</v>
      </c>
    </row>
    <row r="23" spans="1:50" s="50" customFormat="1" ht="18.75" customHeight="1">
      <c r="A23" s="388"/>
      <c r="B23" s="22"/>
      <c r="C23" s="22"/>
      <c r="D23" s="93"/>
      <c r="E23" s="97"/>
      <c r="F23" s="51"/>
      <c r="G23" s="52">
        <f>D23*F23</f>
        <v>0</v>
      </c>
      <c r="H23" s="376"/>
      <c r="I23" s="22"/>
      <c r="J23" s="22"/>
      <c r="K23" s="93"/>
      <c r="L23" s="97"/>
      <c r="M23" s="51"/>
      <c r="N23" s="52">
        <f>K23*M23</f>
        <v>0</v>
      </c>
      <c r="O23" s="483"/>
      <c r="P23" s="339" t="s">
        <v>292</v>
      </c>
      <c r="Q23" s="60"/>
      <c r="R23" s="60"/>
      <c r="S23" s="213"/>
      <c r="T23" s="51"/>
      <c r="U23" s="174">
        <f t="shared" si="6"/>
        <v>0</v>
      </c>
      <c r="V23" s="376"/>
      <c r="W23" s="161"/>
      <c r="X23" s="161"/>
      <c r="Y23" s="75"/>
      <c r="Z23" s="74"/>
      <c r="AA23" s="51"/>
      <c r="AB23" s="174">
        <f t="shared" si="3"/>
        <v>0</v>
      </c>
      <c r="AC23" s="468"/>
      <c r="AD23" s="505" t="s">
        <v>303</v>
      </c>
      <c r="AE23" s="506"/>
      <c r="AF23" s="506"/>
      <c r="AG23" s="507"/>
      <c r="AH23" s="156"/>
      <c r="AI23" s="174">
        <f t="shared" si="4"/>
        <v>0</v>
      </c>
      <c r="AO23" s="399"/>
      <c r="AP23" s="59"/>
      <c r="AQ23" s="59"/>
      <c r="AR23" s="75"/>
      <c r="AS23" s="74"/>
      <c r="AT23" s="512"/>
      <c r="AU23" s="22"/>
      <c r="AV23" s="22"/>
      <c r="AW23" s="93"/>
      <c r="AX23" s="97"/>
    </row>
    <row r="24" spans="1:50" s="50" customFormat="1" ht="18.75" customHeight="1" thickBot="1">
      <c r="A24" s="388"/>
      <c r="B24" s="22"/>
      <c r="C24" s="22"/>
      <c r="D24" s="93"/>
      <c r="E24" s="97"/>
      <c r="F24" s="165"/>
      <c r="G24" s="166">
        <f>D24*F24</f>
        <v>0</v>
      </c>
      <c r="H24" s="420"/>
      <c r="I24" s="22"/>
      <c r="J24" s="22"/>
      <c r="K24" s="93"/>
      <c r="L24" s="97"/>
      <c r="M24" s="165"/>
      <c r="N24" s="166">
        <f>K24*M24</f>
        <v>0</v>
      </c>
      <c r="O24" s="483"/>
      <c r="P24" s="60" t="s">
        <v>74</v>
      </c>
      <c r="Q24" s="60">
        <v>0.5</v>
      </c>
      <c r="R24" s="60">
        <f>ROUND($AE$1*Q24,0)</f>
        <v>36</v>
      </c>
      <c r="S24" s="214" t="s">
        <v>75</v>
      </c>
      <c r="T24" s="165"/>
      <c r="U24" s="174">
        <f t="shared" si="6"/>
        <v>0</v>
      </c>
      <c r="V24" s="376"/>
      <c r="W24" s="163"/>
      <c r="X24" s="163"/>
      <c r="Y24" s="149"/>
      <c r="Z24" s="164"/>
      <c r="AA24" s="165"/>
      <c r="AB24" s="174">
        <f t="shared" si="3"/>
        <v>0</v>
      </c>
      <c r="AC24" s="481"/>
      <c r="AD24" s="508" t="s">
        <v>304</v>
      </c>
      <c r="AE24" s="509"/>
      <c r="AF24" s="509"/>
      <c r="AG24" s="510"/>
      <c r="AH24" s="353"/>
      <c r="AI24" s="174">
        <f t="shared" si="4"/>
        <v>0</v>
      </c>
      <c r="AO24" s="399"/>
      <c r="AP24" s="59"/>
      <c r="AQ24" s="59"/>
      <c r="AR24" s="75"/>
      <c r="AS24" s="74"/>
      <c r="AT24" s="512"/>
      <c r="AU24" s="22"/>
      <c r="AV24" s="22"/>
      <c r="AW24" s="93"/>
      <c r="AX24" s="97"/>
    </row>
    <row r="25" spans="1:50" s="40" customFormat="1" ht="18.75" customHeight="1" thickBot="1">
      <c r="A25" s="381" t="s">
        <v>80</v>
      </c>
      <c r="B25" s="101" t="s">
        <v>81</v>
      </c>
      <c r="C25" s="358">
        <v>2.8</v>
      </c>
      <c r="D25" s="358"/>
      <c r="E25" s="391"/>
      <c r="F25" s="360">
        <f>SUM(G6:G24)</f>
        <v>0</v>
      </c>
      <c r="G25" s="361"/>
      <c r="H25" s="368" t="s">
        <v>80</v>
      </c>
      <c r="I25" s="101" t="s">
        <v>81</v>
      </c>
      <c r="J25" s="358">
        <v>2</v>
      </c>
      <c r="K25" s="358"/>
      <c r="L25" s="391"/>
      <c r="M25" s="360">
        <f>SUM(N6:N24)</f>
        <v>0</v>
      </c>
      <c r="N25" s="361"/>
      <c r="O25" s="368" t="s">
        <v>80</v>
      </c>
      <c r="P25" s="101" t="s">
        <v>81</v>
      </c>
      <c r="Q25" s="358">
        <v>2.6</v>
      </c>
      <c r="R25" s="358"/>
      <c r="S25" s="391"/>
      <c r="T25" s="360">
        <f>SUM(U6:U24)</f>
        <v>0</v>
      </c>
      <c r="U25" s="361"/>
      <c r="V25" s="427" t="s">
        <v>80</v>
      </c>
      <c r="W25" s="167" t="s">
        <v>81</v>
      </c>
      <c r="X25" s="358">
        <v>2.2</v>
      </c>
      <c r="Y25" s="358"/>
      <c r="Z25" s="391"/>
      <c r="AA25" s="371">
        <f>SUM(AB6:AB24)</f>
        <v>0</v>
      </c>
      <c r="AB25" s="361"/>
      <c r="AC25" s="368" t="s">
        <v>80</v>
      </c>
      <c r="AD25" s="101" t="s">
        <v>81</v>
      </c>
      <c r="AE25" s="358">
        <v>2</v>
      </c>
      <c r="AF25" s="358"/>
      <c r="AG25" s="358"/>
      <c r="AH25" s="479" t="e">
        <f>SUM(AI6:AI24)</f>
        <v>#VALUE!</v>
      </c>
      <c r="AI25" s="480"/>
      <c r="AJ25" s="285"/>
      <c r="AK25" s="285">
        <f>(C25+J25+Q25+X25+AE25)/5</f>
        <v>2.3200000000000003</v>
      </c>
      <c r="AO25" s="399"/>
      <c r="AP25" s="22"/>
      <c r="AQ25" s="22"/>
      <c r="AR25" s="75"/>
      <c r="AS25" s="74"/>
      <c r="AT25" s="514"/>
      <c r="AU25" s="22"/>
      <c r="AV25" s="22"/>
      <c r="AW25" s="93"/>
      <c r="AX25" s="97"/>
    </row>
    <row r="26" spans="1:50" s="40" customFormat="1" ht="18.75" customHeight="1">
      <c r="A26" s="382"/>
      <c r="B26" s="103" t="s">
        <v>82</v>
      </c>
      <c r="C26" s="365">
        <v>0.6</v>
      </c>
      <c r="D26" s="365"/>
      <c r="E26" s="366"/>
      <c r="F26" s="104"/>
      <c r="G26" s="105"/>
      <c r="H26" s="369"/>
      <c r="I26" s="103" t="s">
        <v>82</v>
      </c>
      <c r="J26" s="365">
        <v>0.6</v>
      </c>
      <c r="K26" s="365"/>
      <c r="L26" s="366"/>
      <c r="M26" s="106"/>
      <c r="N26" s="105"/>
      <c r="O26" s="369"/>
      <c r="P26" s="103" t="s">
        <v>82</v>
      </c>
      <c r="Q26" s="365">
        <v>0.6</v>
      </c>
      <c r="R26" s="365"/>
      <c r="S26" s="366"/>
      <c r="T26" s="106"/>
      <c r="U26" s="105"/>
      <c r="V26" s="428"/>
      <c r="W26" s="168" t="s">
        <v>82</v>
      </c>
      <c r="X26" s="365">
        <v>0.5</v>
      </c>
      <c r="Y26" s="365"/>
      <c r="Z26" s="366"/>
      <c r="AA26" s="108"/>
      <c r="AB26" s="105"/>
      <c r="AC26" s="369"/>
      <c r="AD26" s="103" t="s">
        <v>82</v>
      </c>
      <c r="AE26" s="365">
        <v>0.7</v>
      </c>
      <c r="AF26" s="365"/>
      <c r="AG26" s="365"/>
      <c r="AH26" s="354"/>
      <c r="AI26" s="110"/>
      <c r="AJ26" s="285"/>
      <c r="AK26" s="285">
        <f aca="true" t="shared" si="7" ref="AK26:AK31">(C26+J26+Q26+X26+AE26)/5</f>
        <v>0.6</v>
      </c>
      <c r="AO26" s="374" t="s">
        <v>39</v>
      </c>
      <c r="AP26" s="374"/>
      <c r="AQ26" s="374"/>
      <c r="AR26" s="374"/>
      <c r="AS26" s="374"/>
      <c r="AT26" s="421" t="s">
        <v>80</v>
      </c>
      <c r="AU26" s="101" t="s">
        <v>81</v>
      </c>
      <c r="AV26" s="358">
        <v>2</v>
      </c>
      <c r="AW26" s="358"/>
      <c r="AX26" s="391"/>
    </row>
    <row r="27" spans="1:50" s="40" customFormat="1" ht="18.75" customHeight="1">
      <c r="A27" s="382"/>
      <c r="B27" s="111" t="s">
        <v>85</v>
      </c>
      <c r="C27" s="365">
        <v>0.2</v>
      </c>
      <c r="D27" s="365"/>
      <c r="E27" s="366"/>
      <c r="F27" s="104"/>
      <c r="G27" s="105"/>
      <c r="H27" s="369"/>
      <c r="I27" s="111" t="s">
        <v>85</v>
      </c>
      <c r="J27" s="365">
        <v>0.5</v>
      </c>
      <c r="K27" s="365"/>
      <c r="L27" s="366"/>
      <c r="M27" s="106"/>
      <c r="N27" s="105"/>
      <c r="O27" s="369"/>
      <c r="P27" s="111" t="s">
        <v>85</v>
      </c>
      <c r="Q27" s="365">
        <v>0.4</v>
      </c>
      <c r="R27" s="365"/>
      <c r="S27" s="366"/>
      <c r="T27" s="106"/>
      <c r="U27" s="105"/>
      <c r="V27" s="428"/>
      <c r="W27" s="169" t="s">
        <v>85</v>
      </c>
      <c r="X27" s="365">
        <v>0.4</v>
      </c>
      <c r="Y27" s="365"/>
      <c r="Z27" s="366"/>
      <c r="AA27" s="108"/>
      <c r="AB27" s="105"/>
      <c r="AC27" s="369"/>
      <c r="AD27" s="111" t="s">
        <v>85</v>
      </c>
      <c r="AE27" s="365">
        <v>0.6</v>
      </c>
      <c r="AF27" s="365"/>
      <c r="AG27" s="365"/>
      <c r="AH27" s="354"/>
      <c r="AI27" s="110"/>
      <c r="AJ27" s="285"/>
      <c r="AK27" s="285">
        <f t="shared" si="7"/>
        <v>0.42000000000000004</v>
      </c>
      <c r="AO27" s="375" t="s">
        <v>90</v>
      </c>
      <c r="AP27" s="58" t="s">
        <v>195</v>
      </c>
      <c r="AQ27" s="58">
        <v>50</v>
      </c>
      <c r="AR27" s="160">
        <f>ROUND($AE$1*AQ27/1000,1)</f>
        <v>3.6</v>
      </c>
      <c r="AS27" s="74" t="s">
        <v>0</v>
      </c>
      <c r="AT27" s="422"/>
      <c r="AU27" s="103" t="s">
        <v>82</v>
      </c>
      <c r="AV27" s="365">
        <v>0.6</v>
      </c>
      <c r="AW27" s="365"/>
      <c r="AX27" s="366"/>
    </row>
    <row r="28" spans="1:50" s="40" customFormat="1" ht="18.75" customHeight="1">
      <c r="A28" s="382"/>
      <c r="B28" s="112" t="s">
        <v>83</v>
      </c>
      <c r="C28" s="365">
        <v>0.5</v>
      </c>
      <c r="D28" s="365"/>
      <c r="E28" s="366"/>
      <c r="F28" s="104"/>
      <c r="G28" s="105"/>
      <c r="H28" s="369"/>
      <c r="I28" s="112" t="s">
        <v>83</v>
      </c>
      <c r="J28" s="365">
        <v>0.5</v>
      </c>
      <c r="K28" s="365"/>
      <c r="L28" s="366"/>
      <c r="M28" s="106"/>
      <c r="N28" s="105"/>
      <c r="O28" s="369"/>
      <c r="P28" s="112" t="s">
        <v>83</v>
      </c>
      <c r="Q28" s="365">
        <v>0.5</v>
      </c>
      <c r="R28" s="365"/>
      <c r="S28" s="366"/>
      <c r="T28" s="106"/>
      <c r="U28" s="105"/>
      <c r="V28" s="428"/>
      <c r="W28" s="170" t="s">
        <v>84</v>
      </c>
      <c r="X28" s="365">
        <v>0.5</v>
      </c>
      <c r="Y28" s="365"/>
      <c r="Z28" s="366"/>
      <c r="AA28" s="108"/>
      <c r="AB28" s="105"/>
      <c r="AC28" s="369"/>
      <c r="AD28" s="112" t="s">
        <v>84</v>
      </c>
      <c r="AE28" s="365">
        <v>0.5</v>
      </c>
      <c r="AF28" s="365"/>
      <c r="AG28" s="365"/>
      <c r="AH28" s="354"/>
      <c r="AI28" s="110"/>
      <c r="AJ28" s="285"/>
      <c r="AK28" s="285">
        <f t="shared" si="7"/>
        <v>0.5</v>
      </c>
      <c r="AO28" s="376"/>
      <c r="AP28" s="58" t="s">
        <v>43</v>
      </c>
      <c r="AQ28" s="58">
        <v>50</v>
      </c>
      <c r="AR28" s="160">
        <f>ROUND($AE$1*AQ28/1000,1)</f>
        <v>3.6</v>
      </c>
      <c r="AS28" s="74" t="s">
        <v>0</v>
      </c>
      <c r="AT28" s="422"/>
      <c r="AU28" s="111" t="s">
        <v>85</v>
      </c>
      <c r="AV28" s="365">
        <v>0.5</v>
      </c>
      <c r="AW28" s="365"/>
      <c r="AX28" s="366"/>
    </row>
    <row r="29" spans="1:50" s="40" customFormat="1" ht="18.75" customHeight="1">
      <c r="A29" s="382"/>
      <c r="B29" s="103" t="s">
        <v>86</v>
      </c>
      <c r="C29" s="365">
        <v>0</v>
      </c>
      <c r="D29" s="365"/>
      <c r="E29" s="366"/>
      <c r="F29" s="104"/>
      <c r="G29" s="105"/>
      <c r="H29" s="369"/>
      <c r="I29" s="103" t="s">
        <v>86</v>
      </c>
      <c r="J29" s="365">
        <v>1</v>
      </c>
      <c r="K29" s="365"/>
      <c r="L29" s="366"/>
      <c r="M29" s="106"/>
      <c r="N29" s="105"/>
      <c r="O29" s="369"/>
      <c r="P29" s="103" t="s">
        <v>86</v>
      </c>
      <c r="Q29" s="365">
        <v>1</v>
      </c>
      <c r="R29" s="365"/>
      <c r="S29" s="366"/>
      <c r="T29" s="106"/>
      <c r="U29" s="105"/>
      <c r="V29" s="428"/>
      <c r="W29" s="168" t="s">
        <v>86</v>
      </c>
      <c r="X29" s="365">
        <v>1</v>
      </c>
      <c r="Y29" s="365"/>
      <c r="Z29" s="366"/>
      <c r="AA29" s="108"/>
      <c r="AB29" s="105"/>
      <c r="AC29" s="369"/>
      <c r="AD29" s="103" t="s">
        <v>86</v>
      </c>
      <c r="AE29" s="365">
        <v>0.5</v>
      </c>
      <c r="AF29" s="365"/>
      <c r="AG29" s="365"/>
      <c r="AH29" s="354"/>
      <c r="AI29" s="110"/>
      <c r="AJ29" s="285"/>
      <c r="AK29" s="285">
        <f t="shared" si="7"/>
        <v>0.7</v>
      </c>
      <c r="AO29" s="376"/>
      <c r="AP29" s="78" t="s">
        <v>17</v>
      </c>
      <c r="AQ29" s="58">
        <v>50</v>
      </c>
      <c r="AR29" s="160">
        <f>ROUND($AE$1*AQ29/1000,1)</f>
        <v>3.6</v>
      </c>
      <c r="AS29" s="74" t="s">
        <v>0</v>
      </c>
      <c r="AT29" s="422"/>
      <c r="AU29" s="112" t="s">
        <v>83</v>
      </c>
      <c r="AV29" s="365">
        <v>0.5</v>
      </c>
      <c r="AW29" s="365"/>
      <c r="AX29" s="366"/>
    </row>
    <row r="30" spans="1:50" s="40" customFormat="1" ht="18.75" customHeight="1">
      <c r="A30" s="382"/>
      <c r="B30" s="103" t="s">
        <v>87</v>
      </c>
      <c r="C30" s="365">
        <v>0.6</v>
      </c>
      <c r="D30" s="365"/>
      <c r="E30" s="366"/>
      <c r="F30" s="104"/>
      <c r="G30" s="105"/>
      <c r="H30" s="369"/>
      <c r="I30" s="103" t="s">
        <v>87</v>
      </c>
      <c r="J30" s="365">
        <v>0.6</v>
      </c>
      <c r="K30" s="365"/>
      <c r="L30" s="366"/>
      <c r="M30" s="113"/>
      <c r="N30" s="105"/>
      <c r="O30" s="369"/>
      <c r="P30" s="103" t="s">
        <v>87</v>
      </c>
      <c r="Q30" s="365">
        <v>0.1</v>
      </c>
      <c r="R30" s="365"/>
      <c r="S30" s="366"/>
      <c r="T30" s="106"/>
      <c r="U30" s="105"/>
      <c r="V30" s="428"/>
      <c r="W30" s="168" t="s">
        <v>87</v>
      </c>
      <c r="X30" s="365">
        <v>0.6</v>
      </c>
      <c r="Y30" s="365"/>
      <c r="Z30" s="366"/>
      <c r="AA30" s="108"/>
      <c r="AB30" s="105"/>
      <c r="AC30" s="369"/>
      <c r="AD30" s="103" t="s">
        <v>87</v>
      </c>
      <c r="AE30" s="365">
        <v>0.5</v>
      </c>
      <c r="AF30" s="365"/>
      <c r="AG30" s="365"/>
      <c r="AH30" s="354"/>
      <c r="AI30" s="110"/>
      <c r="AJ30" s="285"/>
      <c r="AK30" s="285">
        <f t="shared" si="7"/>
        <v>0.48</v>
      </c>
      <c r="AO30" s="376"/>
      <c r="AP30" s="161"/>
      <c r="AQ30" s="161"/>
      <c r="AR30" s="75"/>
      <c r="AS30" s="74"/>
      <c r="AT30" s="422"/>
      <c r="AU30" s="103" t="s">
        <v>86</v>
      </c>
      <c r="AV30" s="365">
        <v>1</v>
      </c>
      <c r="AW30" s="365"/>
      <c r="AX30" s="366"/>
    </row>
    <row r="31" spans="1:50" s="40" customFormat="1" ht="18.75" customHeight="1" thickBot="1">
      <c r="A31" s="383"/>
      <c r="B31" s="114" t="s">
        <v>88</v>
      </c>
      <c r="C31" s="379">
        <f>C25*70+C26*75+C27*25+C28*45+C30*120+C29*60</f>
        <v>340.5</v>
      </c>
      <c r="D31" s="379"/>
      <c r="E31" s="380"/>
      <c r="F31" s="115"/>
      <c r="G31" s="116"/>
      <c r="H31" s="370"/>
      <c r="I31" s="114" t="s">
        <v>88</v>
      </c>
      <c r="J31" s="379">
        <f>J25*70+J26*75+J27*25+J28*45+J30*120+J29*60</f>
        <v>352</v>
      </c>
      <c r="K31" s="379"/>
      <c r="L31" s="380"/>
      <c r="M31" s="117"/>
      <c r="N31" s="116"/>
      <c r="O31" s="370"/>
      <c r="P31" s="114" t="s">
        <v>88</v>
      </c>
      <c r="Q31" s="379">
        <f>Q25*70+Q26*75+Q27*25+Q28*45+Q30*120+Q29*60</f>
        <v>331.5</v>
      </c>
      <c r="R31" s="379"/>
      <c r="S31" s="380"/>
      <c r="T31" s="117"/>
      <c r="U31" s="116"/>
      <c r="V31" s="429"/>
      <c r="W31" s="171" t="s">
        <v>88</v>
      </c>
      <c r="X31" s="379">
        <f>X25*70+X26*75+X27*25+X28*45+X30*120+X29*60</f>
        <v>356</v>
      </c>
      <c r="Y31" s="379"/>
      <c r="Z31" s="380"/>
      <c r="AA31" s="119"/>
      <c r="AB31" s="116"/>
      <c r="AC31" s="370"/>
      <c r="AD31" s="114" t="s">
        <v>88</v>
      </c>
      <c r="AE31" s="379">
        <f>AE25*70+AE26*75+AE27*25+AE28*45+AE30*120+AE29*60</f>
        <v>320</v>
      </c>
      <c r="AF31" s="379"/>
      <c r="AG31" s="379"/>
      <c r="AH31" s="355"/>
      <c r="AI31" s="121"/>
      <c r="AJ31" s="285"/>
      <c r="AK31" s="285">
        <f t="shared" si="7"/>
        <v>340</v>
      </c>
      <c r="AO31" s="376"/>
      <c r="AP31" s="60" t="s">
        <v>14</v>
      </c>
      <c r="AQ31" s="52">
        <v>133</v>
      </c>
      <c r="AR31" s="52">
        <v>4</v>
      </c>
      <c r="AS31" s="61" t="s">
        <v>48</v>
      </c>
      <c r="AT31" s="422"/>
      <c r="AU31" s="103" t="s">
        <v>87</v>
      </c>
      <c r="AV31" s="365">
        <v>0.6</v>
      </c>
      <c r="AW31" s="365"/>
      <c r="AX31" s="366"/>
    </row>
    <row r="32" spans="1:50" s="50" customFormat="1" ht="18.75" customHeight="1" thickBot="1">
      <c r="A32" s="82"/>
      <c r="B32" s="83"/>
      <c r="C32" s="83"/>
      <c r="D32" s="122"/>
      <c r="E32" s="122"/>
      <c r="F32" s="84"/>
      <c r="G32" s="83"/>
      <c r="H32" s="85"/>
      <c r="I32" s="83"/>
      <c r="J32" s="83"/>
      <c r="K32" s="122"/>
      <c r="L32" s="122"/>
      <c r="M32" s="84"/>
      <c r="N32" s="83"/>
      <c r="O32" s="222"/>
      <c r="P32" s="222"/>
      <c r="Q32" s="222"/>
      <c r="R32" s="222"/>
      <c r="S32" s="222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2"/>
      <c r="AG32" s="122"/>
      <c r="AH32" s="84"/>
      <c r="AI32" s="83"/>
      <c r="AO32" s="376"/>
      <c r="AP32" s="161"/>
      <c r="AQ32" s="161"/>
      <c r="AR32" s="75"/>
      <c r="AS32" s="74"/>
      <c r="AT32" s="423"/>
      <c r="AU32" s="114" t="s">
        <v>88</v>
      </c>
      <c r="AV32" s="379">
        <f>AV26*70+AV27*75+AV28*25+AV29*45+AV31*120+AV30*60</f>
        <v>352</v>
      </c>
      <c r="AW32" s="379"/>
      <c r="AX32" s="380"/>
    </row>
    <row r="33" spans="1:45" s="50" customFormat="1" ht="19.5" customHeight="1">
      <c r="A33" s="222" t="s">
        <v>51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223"/>
      <c r="Q33" s="223"/>
      <c r="R33" s="223"/>
      <c r="S33" s="223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123"/>
      <c r="AJ33" s="65"/>
      <c r="AK33" s="65"/>
      <c r="AL33" s="65"/>
      <c r="AM33" s="65"/>
      <c r="AN33" s="65"/>
      <c r="AO33" s="376"/>
      <c r="AP33" s="161"/>
      <c r="AQ33" s="161"/>
      <c r="AR33" s="75"/>
      <c r="AS33" s="74"/>
    </row>
    <row r="34" spans="1:45" s="50" customFormat="1" ht="22.5" customHeight="1" thickBot="1">
      <c r="A34" s="223" t="s">
        <v>60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67"/>
      <c r="P34" s="68"/>
      <c r="Q34" s="68"/>
      <c r="R34" s="68"/>
      <c r="S34" s="68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124"/>
      <c r="AJ34" s="65"/>
      <c r="AK34" s="65"/>
      <c r="AL34" s="65"/>
      <c r="AM34" s="65"/>
      <c r="AN34" s="65"/>
      <c r="AO34" s="376"/>
      <c r="AP34" s="163"/>
      <c r="AQ34" s="163"/>
      <c r="AR34" s="149"/>
      <c r="AS34" s="164"/>
    </row>
    <row r="35" spans="41:45" ht="22.5" customHeight="1">
      <c r="AO35" s="427" t="s">
        <v>80</v>
      </c>
      <c r="AP35" s="167" t="s">
        <v>81</v>
      </c>
      <c r="AQ35" s="358">
        <v>2.2</v>
      </c>
      <c r="AR35" s="358"/>
      <c r="AS35" s="359"/>
    </row>
    <row r="36" spans="41:45" ht="26.25">
      <c r="AO36" s="428"/>
      <c r="AP36" s="168" t="s">
        <v>82</v>
      </c>
      <c r="AQ36" s="365">
        <v>0.5</v>
      </c>
      <c r="AR36" s="365"/>
      <c r="AS36" s="367"/>
    </row>
    <row r="37" spans="41:45" ht="26.25">
      <c r="AO37" s="428"/>
      <c r="AP37" s="169" t="s">
        <v>85</v>
      </c>
      <c r="AQ37" s="365">
        <v>0.4</v>
      </c>
      <c r="AR37" s="365"/>
      <c r="AS37" s="367"/>
    </row>
    <row r="38" spans="41:45" ht="26.25">
      <c r="AO38" s="428"/>
      <c r="AP38" s="170" t="s">
        <v>84</v>
      </c>
      <c r="AQ38" s="365">
        <v>0.5</v>
      </c>
      <c r="AR38" s="365"/>
      <c r="AS38" s="367"/>
    </row>
    <row r="39" spans="41:45" ht="26.25">
      <c r="AO39" s="428"/>
      <c r="AP39" s="168" t="s">
        <v>86</v>
      </c>
      <c r="AQ39" s="365">
        <v>1</v>
      </c>
      <c r="AR39" s="365"/>
      <c r="AS39" s="367"/>
    </row>
    <row r="40" spans="41:45" ht="26.25">
      <c r="AO40" s="428"/>
      <c r="AP40" s="168" t="s">
        <v>87</v>
      </c>
      <c r="AQ40" s="365">
        <v>0.6</v>
      </c>
      <c r="AR40" s="365"/>
      <c r="AS40" s="367"/>
    </row>
    <row r="41" spans="41:45" ht="27" thickBot="1">
      <c r="AO41" s="429"/>
      <c r="AP41" s="171" t="s">
        <v>88</v>
      </c>
      <c r="AQ41" s="379">
        <f>AQ35*70+AQ36*75+AQ37*25+AQ38*45+AQ40*120+AQ39*60</f>
        <v>356</v>
      </c>
      <c r="AR41" s="379"/>
      <c r="AS41" s="384"/>
    </row>
  </sheetData>
  <sheetProtection/>
  <mergeCells count="109">
    <mergeCell ref="AV32:AX32"/>
    <mergeCell ref="AO2:AO9"/>
    <mergeCell ref="AP7:AS7"/>
    <mergeCell ref="AD22:AG22"/>
    <mergeCell ref="AD23:AG23"/>
    <mergeCell ref="AD24:AG24"/>
    <mergeCell ref="AT7:AT16"/>
    <mergeCell ref="AT17:AX17"/>
    <mergeCell ref="AT18:AT25"/>
    <mergeCell ref="AT26:AT32"/>
    <mergeCell ref="AV26:AX26"/>
    <mergeCell ref="AV27:AX27"/>
    <mergeCell ref="AV28:AX28"/>
    <mergeCell ref="AV29:AX29"/>
    <mergeCell ref="AV30:AX30"/>
    <mergeCell ref="AV31:AX31"/>
    <mergeCell ref="P1:AD1"/>
    <mergeCell ref="A2:A4"/>
    <mergeCell ref="B2:E2"/>
    <mergeCell ref="H2:H4"/>
    <mergeCell ref="I2:L2"/>
    <mergeCell ref="P2:S2"/>
    <mergeCell ref="V2:V4"/>
    <mergeCell ref="W2:Z2"/>
    <mergeCell ref="AC2:AC4"/>
    <mergeCell ref="A1:N1"/>
    <mergeCell ref="AD2:AG2"/>
    <mergeCell ref="B4:E4"/>
    <mergeCell ref="I4:L4"/>
    <mergeCell ref="P4:S4"/>
    <mergeCell ref="W4:Z4"/>
    <mergeCell ref="AD4:AG4"/>
    <mergeCell ref="O2:O4"/>
    <mergeCell ref="A16:E16"/>
    <mergeCell ref="C26:E26"/>
    <mergeCell ref="F25:G25"/>
    <mergeCell ref="J25:L25"/>
    <mergeCell ref="M25:N25"/>
    <mergeCell ref="H16:L16"/>
    <mergeCell ref="J26:L26"/>
    <mergeCell ref="H17:H24"/>
    <mergeCell ref="A17:A24"/>
    <mergeCell ref="A25:A31"/>
    <mergeCell ref="O5:S5"/>
    <mergeCell ref="A6:A15"/>
    <mergeCell ref="AE29:AG29"/>
    <mergeCell ref="AC6:AC15"/>
    <mergeCell ref="O16:S16"/>
    <mergeCell ref="O17:O24"/>
    <mergeCell ref="A5:E5"/>
    <mergeCell ref="H5:L5"/>
    <mergeCell ref="AC5:AG5"/>
    <mergeCell ref="V5:Z5"/>
    <mergeCell ref="AE28:AG28"/>
    <mergeCell ref="AC17:AC24"/>
    <mergeCell ref="X25:Z25"/>
    <mergeCell ref="AA25:AB25"/>
    <mergeCell ref="H6:H15"/>
    <mergeCell ref="O6:O15"/>
    <mergeCell ref="V6:V15"/>
    <mergeCell ref="X26:Z26"/>
    <mergeCell ref="H25:H31"/>
    <mergeCell ref="AE30:AG30"/>
    <mergeCell ref="C30:E30"/>
    <mergeCell ref="J30:L30"/>
    <mergeCell ref="J27:L27"/>
    <mergeCell ref="V17:V24"/>
    <mergeCell ref="X27:Z27"/>
    <mergeCell ref="O25:O31"/>
    <mergeCell ref="Q31:S31"/>
    <mergeCell ref="T25:U25"/>
    <mergeCell ref="V25:V31"/>
    <mergeCell ref="Q25:S25"/>
    <mergeCell ref="AE27:AG27"/>
    <mergeCell ref="C31:E31"/>
    <mergeCell ref="J31:L31"/>
    <mergeCell ref="Q30:S30"/>
    <mergeCell ref="C25:E25"/>
    <mergeCell ref="Q26:S26"/>
    <mergeCell ref="Q27:S27"/>
    <mergeCell ref="X28:Z28"/>
    <mergeCell ref="X30:Z30"/>
    <mergeCell ref="C29:E29"/>
    <mergeCell ref="J29:L29"/>
    <mergeCell ref="C28:E28"/>
    <mergeCell ref="J28:L28"/>
    <mergeCell ref="C27:E27"/>
    <mergeCell ref="Q28:S28"/>
    <mergeCell ref="Q29:S29"/>
    <mergeCell ref="AQ41:AS41"/>
    <mergeCell ref="AO16:AO25"/>
    <mergeCell ref="AO26:AS26"/>
    <mergeCell ref="AO27:AO34"/>
    <mergeCell ref="AO35:AO41"/>
    <mergeCell ref="AQ37:AS37"/>
    <mergeCell ref="AQ38:AS38"/>
    <mergeCell ref="AQ39:AS39"/>
    <mergeCell ref="AQ40:AS40"/>
    <mergeCell ref="AQ35:AS35"/>
    <mergeCell ref="AQ36:AS36"/>
    <mergeCell ref="V16:Z16"/>
    <mergeCell ref="AC16:AG16"/>
    <mergeCell ref="AC25:AC31"/>
    <mergeCell ref="AE25:AG25"/>
    <mergeCell ref="X31:Z31"/>
    <mergeCell ref="AE26:AG26"/>
    <mergeCell ref="AE31:AG31"/>
    <mergeCell ref="X29:Z29"/>
    <mergeCell ref="AH25:AI2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view="pageBreakPreview" zoomScale="106" zoomScaleSheetLayoutView="106" zoomScalePageLayoutView="0" workbookViewId="0" topLeftCell="A1">
      <selection activeCell="W20" sqref="W20"/>
    </sheetView>
  </sheetViews>
  <sheetFormatPr defaultColWidth="6.125" defaultRowHeight="16.5"/>
  <cols>
    <col min="1" max="1" width="3.75390625" style="301" customWidth="1"/>
    <col min="2" max="2" width="18.375" style="220" customWidth="1"/>
    <col min="3" max="3" width="6.125" style="220" customWidth="1"/>
    <col min="4" max="5" width="5.625" style="220" customWidth="1"/>
    <col min="6" max="6" width="6.125" style="302" customWidth="1"/>
    <col min="7" max="7" width="6.125" style="303" customWidth="1"/>
    <col min="8" max="8" width="3.625" style="301" customWidth="1"/>
    <col min="9" max="9" width="15.875" style="220" customWidth="1"/>
    <col min="10" max="10" width="6.125" style="220" customWidth="1"/>
    <col min="11" max="12" width="5.625" style="220" customWidth="1"/>
    <col min="13" max="13" width="6.125" style="302" customWidth="1"/>
    <col min="14" max="14" width="6.125" style="303" customWidth="1"/>
    <col min="15" max="15" width="3.875" style="301" customWidth="1"/>
    <col min="16" max="16" width="16.375" style="220" customWidth="1"/>
    <col min="17" max="17" width="6.125" style="220" customWidth="1"/>
    <col min="18" max="19" width="5.625" style="220" customWidth="1"/>
    <col min="20" max="20" width="6.125" style="302" customWidth="1"/>
    <col min="21" max="21" width="6.125" style="303" customWidth="1"/>
    <col min="22" max="22" width="3.625" style="304" customWidth="1"/>
    <col min="23" max="23" width="16.125" style="220" customWidth="1"/>
    <col min="24" max="24" width="6.125" style="220" customWidth="1"/>
    <col min="25" max="26" width="5.625" style="220" customWidth="1"/>
    <col min="27" max="27" width="6.125" style="302" customWidth="1"/>
    <col min="28" max="28" width="6.125" style="303" customWidth="1"/>
    <col min="29" max="29" width="4.125" style="301" customWidth="1"/>
    <col min="30" max="30" width="16.125" style="220" customWidth="1"/>
    <col min="31" max="31" width="6.125" style="220" customWidth="1"/>
    <col min="32" max="33" width="5.625" style="220" customWidth="1"/>
    <col min="34" max="34" width="6.125" style="305" customWidth="1"/>
    <col min="35" max="35" width="6.125" style="303" customWidth="1"/>
    <col min="36" max="36" width="6.125" style="21" customWidth="1"/>
    <col min="37" max="37" width="11.00390625" style="21" customWidth="1"/>
    <col min="38" max="38" width="8.00390625" style="21" bestFit="1" customWidth="1"/>
    <col min="39" max="16384" width="6.125" style="21" customWidth="1"/>
  </cols>
  <sheetData>
    <row r="1" spans="1:256" s="92" customFormat="1" ht="30" customHeight="1">
      <c r="A1" s="515" t="str">
        <f>'第四周'!A1</f>
        <v>僑愛國民小學附幼111學年度下學期第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221">
        <f>'第四周'!O1+1</f>
        <v>16</v>
      </c>
      <c r="P1" s="467" t="s">
        <v>203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216">
        <v>72</v>
      </c>
      <c r="AF1" s="216">
        <v>72</v>
      </c>
      <c r="AG1" s="216"/>
      <c r="AH1" s="216"/>
      <c r="AI1" s="216"/>
      <c r="AJ1" s="215"/>
      <c r="AK1" s="215"/>
      <c r="AL1" s="216"/>
      <c r="AM1" s="216"/>
      <c r="AN1" s="216"/>
      <c r="AO1" s="216"/>
      <c r="AP1" s="224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215"/>
      <c r="HW1" s="215"/>
      <c r="HX1" s="215"/>
      <c r="HY1" s="215"/>
      <c r="HZ1" s="215"/>
      <c r="IA1" s="215"/>
      <c r="IB1" s="215"/>
      <c r="IC1" s="215"/>
      <c r="ID1" s="215"/>
      <c r="IE1" s="215"/>
      <c r="IF1" s="215"/>
      <c r="IG1" s="215"/>
      <c r="IH1" s="215"/>
      <c r="II1" s="215"/>
      <c r="IJ1" s="215"/>
      <c r="IK1" s="215"/>
      <c r="IL1" s="215"/>
      <c r="IM1" s="215"/>
      <c r="IN1" s="215"/>
      <c r="IO1" s="215"/>
      <c r="IP1" s="215"/>
      <c r="IQ1" s="215"/>
      <c r="IR1" s="215"/>
      <c r="IS1" s="215"/>
      <c r="IT1" s="215"/>
      <c r="IU1" s="215"/>
      <c r="IV1" s="215"/>
    </row>
    <row r="2" spans="1:256" s="40" customFormat="1" ht="18.75" customHeight="1">
      <c r="A2" s="540" t="s">
        <v>24</v>
      </c>
      <c r="B2" s="542">
        <f>'第四周'!B2+7</f>
        <v>45075</v>
      </c>
      <c r="C2" s="542"/>
      <c r="D2" s="542"/>
      <c r="E2" s="542"/>
      <c r="F2" s="225"/>
      <c r="G2" s="226"/>
      <c r="H2" s="543" t="s">
        <v>24</v>
      </c>
      <c r="I2" s="545">
        <f>B2+1</f>
        <v>45076</v>
      </c>
      <c r="J2" s="545"/>
      <c r="K2" s="545"/>
      <c r="L2" s="545"/>
      <c r="M2" s="227"/>
      <c r="N2" s="228"/>
      <c r="O2" s="533" t="s">
        <v>24</v>
      </c>
      <c r="P2" s="546">
        <f>I2+1</f>
        <v>45077</v>
      </c>
      <c r="Q2" s="546"/>
      <c r="R2" s="546"/>
      <c r="S2" s="546"/>
      <c r="T2" s="229"/>
      <c r="U2" s="230"/>
      <c r="V2" s="533" t="s">
        <v>24</v>
      </c>
      <c r="W2" s="532">
        <f>P2+1</f>
        <v>45078</v>
      </c>
      <c r="X2" s="532"/>
      <c r="Y2" s="532"/>
      <c r="Z2" s="532"/>
      <c r="AA2" s="231"/>
      <c r="AB2" s="232"/>
      <c r="AC2" s="533" t="s">
        <v>24</v>
      </c>
      <c r="AD2" s="535">
        <f>W2+1</f>
        <v>45079</v>
      </c>
      <c r="AE2" s="535"/>
      <c r="AF2" s="535"/>
      <c r="AG2" s="536"/>
      <c r="AH2" s="233"/>
      <c r="AI2" s="234"/>
      <c r="AJ2" s="235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  <c r="IV2" s="221"/>
    </row>
    <row r="3" spans="1:256" s="40" customFormat="1" ht="18.75" customHeight="1">
      <c r="A3" s="541"/>
      <c r="B3" s="182" t="s">
        <v>89</v>
      </c>
      <c r="C3" s="182" t="s">
        <v>26</v>
      </c>
      <c r="D3" s="219" t="s">
        <v>27</v>
      </c>
      <c r="E3" s="219" t="s">
        <v>28</v>
      </c>
      <c r="F3" s="236" t="s">
        <v>29</v>
      </c>
      <c r="G3" s="237" t="s">
        <v>30</v>
      </c>
      <c r="H3" s="544"/>
      <c r="I3" s="237" t="s">
        <v>25</v>
      </c>
      <c r="J3" s="237" t="s">
        <v>26</v>
      </c>
      <c r="K3" s="238" t="s">
        <v>27</v>
      </c>
      <c r="L3" s="238" t="s">
        <v>28</v>
      </c>
      <c r="M3" s="236" t="s">
        <v>29</v>
      </c>
      <c r="N3" s="239" t="s">
        <v>30</v>
      </c>
      <c r="O3" s="534"/>
      <c r="P3" s="237" t="s">
        <v>25</v>
      </c>
      <c r="Q3" s="237" t="s">
        <v>26</v>
      </c>
      <c r="R3" s="238" t="s">
        <v>27</v>
      </c>
      <c r="S3" s="238" t="s">
        <v>28</v>
      </c>
      <c r="T3" s="236" t="s">
        <v>29</v>
      </c>
      <c r="U3" s="239" t="s">
        <v>30</v>
      </c>
      <c r="V3" s="534"/>
      <c r="W3" s="237" t="s">
        <v>25</v>
      </c>
      <c r="X3" s="237" t="s">
        <v>26</v>
      </c>
      <c r="Y3" s="238" t="s">
        <v>27</v>
      </c>
      <c r="Z3" s="238" t="s">
        <v>28</v>
      </c>
      <c r="AA3" s="236" t="s">
        <v>29</v>
      </c>
      <c r="AB3" s="239" t="s">
        <v>30</v>
      </c>
      <c r="AC3" s="534"/>
      <c r="AD3" s="237" t="s">
        <v>25</v>
      </c>
      <c r="AE3" s="237" t="s">
        <v>26</v>
      </c>
      <c r="AF3" s="238" t="s">
        <v>27</v>
      </c>
      <c r="AG3" s="240" t="s">
        <v>28</v>
      </c>
      <c r="AH3" s="241" t="s">
        <v>29</v>
      </c>
      <c r="AI3" s="242" t="s">
        <v>30</v>
      </c>
      <c r="AJ3" s="243" t="s">
        <v>30</v>
      </c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  <c r="IV3" s="221"/>
    </row>
    <row r="4" spans="1:256" s="50" customFormat="1" ht="18.75" customHeight="1" hidden="1">
      <c r="A4" s="541"/>
      <c r="B4" s="409" t="s">
        <v>31</v>
      </c>
      <c r="C4" s="409"/>
      <c r="D4" s="409"/>
      <c r="E4" s="409"/>
      <c r="F4" s="244"/>
      <c r="G4" s="245"/>
      <c r="H4" s="544"/>
      <c r="I4" s="537" t="s">
        <v>32</v>
      </c>
      <c r="J4" s="537"/>
      <c r="K4" s="537"/>
      <c r="L4" s="537"/>
      <c r="M4" s="244"/>
      <c r="N4" s="246"/>
      <c r="O4" s="534"/>
      <c r="P4" s="537" t="s">
        <v>33</v>
      </c>
      <c r="Q4" s="537"/>
      <c r="R4" s="537"/>
      <c r="S4" s="537"/>
      <c r="T4" s="236"/>
      <c r="U4" s="247"/>
      <c r="V4" s="534"/>
      <c r="W4" s="537" t="s">
        <v>34</v>
      </c>
      <c r="X4" s="537"/>
      <c r="Y4" s="537"/>
      <c r="Z4" s="537"/>
      <c r="AA4" s="244"/>
      <c r="AB4" s="246"/>
      <c r="AC4" s="534"/>
      <c r="AD4" s="538" t="s">
        <v>35</v>
      </c>
      <c r="AE4" s="538"/>
      <c r="AF4" s="538"/>
      <c r="AG4" s="539"/>
      <c r="AH4" s="244"/>
      <c r="AI4" s="248"/>
      <c r="AJ4" s="246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50" customFormat="1" ht="18.75" customHeight="1">
      <c r="A5" s="377" t="s">
        <v>36</v>
      </c>
      <c r="B5" s="378"/>
      <c r="C5" s="378"/>
      <c r="D5" s="378"/>
      <c r="E5" s="378"/>
      <c r="F5" s="249"/>
      <c r="G5" s="250"/>
      <c r="H5" s="386" t="s">
        <v>36</v>
      </c>
      <c r="I5" s="378"/>
      <c r="J5" s="378"/>
      <c r="K5" s="378"/>
      <c r="L5" s="378"/>
      <c r="M5" s="249"/>
      <c r="N5" s="251"/>
      <c r="O5" s="402" t="s">
        <v>36</v>
      </c>
      <c r="P5" s="378"/>
      <c r="Q5" s="378"/>
      <c r="R5" s="378"/>
      <c r="S5" s="378"/>
      <c r="T5" s="249"/>
      <c r="U5" s="251"/>
      <c r="V5" s="402" t="s">
        <v>36</v>
      </c>
      <c r="W5" s="378"/>
      <c r="X5" s="378"/>
      <c r="Y5" s="378"/>
      <c r="Z5" s="378"/>
      <c r="AA5" s="249"/>
      <c r="AB5" s="251"/>
      <c r="AC5" s="402" t="s">
        <v>36</v>
      </c>
      <c r="AD5" s="378"/>
      <c r="AE5" s="378"/>
      <c r="AF5" s="378"/>
      <c r="AG5" s="436"/>
      <c r="AH5" s="244"/>
      <c r="AI5" s="248"/>
      <c r="AJ5" s="246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50" customFormat="1" ht="18.75" customHeight="1">
      <c r="A6" s="424" t="s">
        <v>298</v>
      </c>
      <c r="B6" s="253" t="s">
        <v>53</v>
      </c>
      <c r="C6" s="257">
        <v>1</v>
      </c>
      <c r="D6" s="253">
        <f>ROUND($AE$1*C6,0)</f>
        <v>72</v>
      </c>
      <c r="E6" s="258" t="s">
        <v>15</v>
      </c>
      <c r="F6" s="321"/>
      <c r="G6" s="58">
        <f aca="true" t="shared" si="0" ref="G6:G11">D6*F6</f>
        <v>0</v>
      </c>
      <c r="H6" s="529" t="s">
        <v>208</v>
      </c>
      <c r="I6" s="56" t="s">
        <v>209</v>
      </c>
      <c r="J6" s="56">
        <v>70</v>
      </c>
      <c r="K6" s="252">
        <f>ROUND($AF$1*J6/1000,1)</f>
        <v>5</v>
      </c>
      <c r="L6" s="320" t="s">
        <v>0</v>
      </c>
      <c r="M6" s="321"/>
      <c r="N6" s="58">
        <f>K6*M6</f>
        <v>0</v>
      </c>
      <c r="O6" s="424" t="s">
        <v>210</v>
      </c>
      <c r="P6" s="53" t="s">
        <v>199</v>
      </c>
      <c r="Q6" s="254">
        <v>70</v>
      </c>
      <c r="R6" s="252">
        <f>ROUND($AF$1*Q6/1000,1)</f>
        <v>5</v>
      </c>
      <c r="S6" s="255" t="s">
        <v>0</v>
      </c>
      <c r="T6" s="321"/>
      <c r="U6" s="247">
        <f>R6*T6</f>
        <v>0</v>
      </c>
      <c r="V6" s="424" t="s">
        <v>297</v>
      </c>
      <c r="W6" s="256" t="s">
        <v>64</v>
      </c>
      <c r="X6" s="257">
        <v>1.3</v>
      </c>
      <c r="Y6" s="252">
        <v>2</v>
      </c>
      <c r="Z6" s="258" t="s">
        <v>65</v>
      </c>
      <c r="AA6" s="321"/>
      <c r="AB6" s="58">
        <f>Y6*AA6</f>
        <v>0</v>
      </c>
      <c r="AC6" s="527" t="s">
        <v>211</v>
      </c>
      <c r="AD6" s="56" t="s">
        <v>212</v>
      </c>
      <c r="AE6" s="56">
        <v>40</v>
      </c>
      <c r="AF6" s="252" t="s">
        <v>21</v>
      </c>
      <c r="AG6" s="125" t="s">
        <v>0</v>
      </c>
      <c r="AH6" s="321"/>
      <c r="AI6" s="240"/>
      <c r="AJ6" s="58" t="e">
        <f>#REF!*#REF!</f>
        <v>#REF!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50" customFormat="1" ht="18.75" customHeight="1">
      <c r="A7" s="425"/>
      <c r="B7" s="253"/>
      <c r="C7" s="257"/>
      <c r="D7" s="264"/>
      <c r="E7" s="265"/>
      <c r="F7" s="321"/>
      <c r="G7" s="58">
        <f t="shared" si="0"/>
        <v>0</v>
      </c>
      <c r="H7" s="530"/>
      <c r="I7" s="56" t="s">
        <v>213</v>
      </c>
      <c r="J7" s="56">
        <v>16.5</v>
      </c>
      <c r="K7" s="252">
        <v>3</v>
      </c>
      <c r="L7" s="93" t="s">
        <v>0</v>
      </c>
      <c r="M7" s="321"/>
      <c r="N7" s="58"/>
      <c r="O7" s="425"/>
      <c r="P7" s="254" t="s">
        <v>62</v>
      </c>
      <c r="Q7" s="254">
        <v>5</v>
      </c>
      <c r="R7" s="252">
        <f>ROUND($AF$1*Q7/1000,1)</f>
        <v>0.4</v>
      </c>
      <c r="S7" s="255" t="s">
        <v>0</v>
      </c>
      <c r="T7" s="321"/>
      <c r="U7" s="247">
        <f aca="true" t="shared" si="1" ref="U7:U15">R7*T7</f>
        <v>0</v>
      </c>
      <c r="V7" s="425"/>
      <c r="W7" s="256" t="s">
        <v>214</v>
      </c>
      <c r="X7" s="257"/>
      <c r="Y7" s="252">
        <v>2</v>
      </c>
      <c r="Z7" s="258" t="s">
        <v>65</v>
      </c>
      <c r="AA7" s="321"/>
      <c r="AB7" s="58">
        <f>Y7*AA7*65/1000</f>
        <v>0</v>
      </c>
      <c r="AC7" s="528"/>
      <c r="AD7" s="259" t="s">
        <v>215</v>
      </c>
      <c r="AE7" s="56">
        <v>10</v>
      </c>
      <c r="AF7" s="252" t="s">
        <v>21</v>
      </c>
      <c r="AG7" s="97" t="s">
        <v>0</v>
      </c>
      <c r="AH7" s="321"/>
      <c r="AI7" s="240"/>
      <c r="AJ7" s="58" t="e">
        <f>#REF!*#REF!</f>
        <v>#REF!</v>
      </c>
      <c r="AK7" s="20"/>
      <c r="AL7" s="20"/>
      <c r="AM7" s="20"/>
      <c r="AN7" s="20"/>
      <c r="AO7" s="20"/>
      <c r="AP7" s="20"/>
      <c r="AQ7" s="20"/>
      <c r="AR7" s="527" t="s">
        <v>211</v>
      </c>
      <c r="AS7" s="56" t="s">
        <v>212</v>
      </c>
      <c r="AT7" s="56">
        <v>40</v>
      </c>
      <c r="AU7" s="252" t="s">
        <v>21</v>
      </c>
      <c r="AV7" s="125" t="s">
        <v>0</v>
      </c>
      <c r="AW7" s="20"/>
      <c r="AX7" s="20"/>
      <c r="AY7" s="20"/>
      <c r="AZ7" s="529" t="s">
        <v>208</v>
      </c>
      <c r="BA7" s="56" t="s">
        <v>209</v>
      </c>
      <c r="BB7" s="56">
        <v>70</v>
      </c>
      <c r="BC7" s="252">
        <f>ROUND($AF$1*BB7/1000,1)</f>
        <v>5</v>
      </c>
      <c r="BD7" s="320" t="s">
        <v>0</v>
      </c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50" customFormat="1" ht="18.75" customHeight="1">
      <c r="A8" s="425"/>
      <c r="B8" s="253" t="s">
        <v>1</v>
      </c>
      <c r="C8" s="253">
        <v>20</v>
      </c>
      <c r="D8" s="253">
        <f>ROUND($AE$1*C8/1000,1)</f>
        <v>1.4</v>
      </c>
      <c r="E8" s="255" t="s">
        <v>0</v>
      </c>
      <c r="F8" s="321"/>
      <c r="G8" s="58">
        <f t="shared" si="0"/>
        <v>0</v>
      </c>
      <c r="H8" s="530"/>
      <c r="I8" s="56" t="s">
        <v>216</v>
      </c>
      <c r="J8" s="56">
        <v>8</v>
      </c>
      <c r="K8" s="252">
        <f>ROUND($AF$1*J8/1000,1)</f>
        <v>0.6</v>
      </c>
      <c r="L8" s="93" t="s">
        <v>0</v>
      </c>
      <c r="M8" s="321"/>
      <c r="N8" s="58">
        <f>K8*M8</f>
        <v>0</v>
      </c>
      <c r="O8" s="425"/>
      <c r="P8" s="254" t="s">
        <v>217</v>
      </c>
      <c r="Q8" s="254">
        <v>22</v>
      </c>
      <c r="R8" s="252" t="s">
        <v>21</v>
      </c>
      <c r="S8" s="255" t="s">
        <v>0</v>
      </c>
      <c r="T8" s="321"/>
      <c r="U8" s="247"/>
      <c r="V8" s="425"/>
      <c r="W8" s="201" t="s">
        <v>254</v>
      </c>
      <c r="X8" s="260">
        <v>16</v>
      </c>
      <c r="Y8" s="252">
        <f>ROUND($AF$1*X8/1000,1)</f>
        <v>1.2</v>
      </c>
      <c r="Z8" s="255" t="s">
        <v>0</v>
      </c>
      <c r="AA8" s="321"/>
      <c r="AB8" s="58">
        <f>Y8*AA8</f>
        <v>0</v>
      </c>
      <c r="AC8" s="528"/>
      <c r="AD8" s="56" t="s">
        <v>218</v>
      </c>
      <c r="AE8" s="56">
        <v>30</v>
      </c>
      <c r="AF8" s="252">
        <f>ROUND($AF$1*AE8/1000,1)</f>
        <v>2.2</v>
      </c>
      <c r="AG8" s="97" t="s">
        <v>0</v>
      </c>
      <c r="AH8" s="321"/>
      <c r="AI8" s="240">
        <f>AF8*AH8*65/1000</f>
        <v>0</v>
      </c>
      <c r="AJ8" s="58" t="e">
        <f>#REF!*#REF!</f>
        <v>#REF!</v>
      </c>
      <c r="AK8" s="20"/>
      <c r="AL8" s="20"/>
      <c r="AM8" s="20"/>
      <c r="AN8" s="20"/>
      <c r="AO8" s="20"/>
      <c r="AP8" s="20"/>
      <c r="AQ8" s="20"/>
      <c r="AR8" s="528"/>
      <c r="AS8" s="259" t="s">
        <v>215</v>
      </c>
      <c r="AT8" s="56">
        <v>10</v>
      </c>
      <c r="AU8" s="252" t="s">
        <v>21</v>
      </c>
      <c r="AV8" s="97" t="s">
        <v>0</v>
      </c>
      <c r="AW8" s="20"/>
      <c r="AX8" s="20"/>
      <c r="AY8" s="20"/>
      <c r="AZ8" s="530"/>
      <c r="BA8" s="56" t="s">
        <v>213</v>
      </c>
      <c r="BB8" s="56">
        <v>16.5</v>
      </c>
      <c r="BC8" s="252">
        <v>3</v>
      </c>
      <c r="BD8" s="93" t="s">
        <v>0</v>
      </c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50" customFormat="1" ht="18.75" customHeight="1">
      <c r="A9" s="425"/>
      <c r="B9" s="253" t="s">
        <v>38</v>
      </c>
      <c r="C9" s="253">
        <v>0.6</v>
      </c>
      <c r="D9" s="253">
        <f>ROUND($AE$1*C9,0)</f>
        <v>43</v>
      </c>
      <c r="E9" s="258" t="s">
        <v>54</v>
      </c>
      <c r="F9" s="321"/>
      <c r="G9" s="58">
        <f t="shared" si="0"/>
        <v>0</v>
      </c>
      <c r="H9" s="530"/>
      <c r="I9" s="56" t="s">
        <v>63</v>
      </c>
      <c r="J9" s="56">
        <v>8.5</v>
      </c>
      <c r="K9" s="252">
        <f>ROUND($AF$1*J9/1000,1)</f>
        <v>0.6</v>
      </c>
      <c r="L9" s="93" t="s">
        <v>0</v>
      </c>
      <c r="M9" s="321"/>
      <c r="N9" s="58"/>
      <c r="O9" s="425"/>
      <c r="P9" s="254" t="s">
        <v>1</v>
      </c>
      <c r="Q9" s="254">
        <v>30</v>
      </c>
      <c r="R9" s="252">
        <f>ROUND($AF$1*Q9/1000,1)</f>
        <v>2.2</v>
      </c>
      <c r="S9" s="255" t="s">
        <v>0</v>
      </c>
      <c r="T9" s="321"/>
      <c r="U9" s="247">
        <f t="shared" si="1"/>
        <v>0</v>
      </c>
      <c r="V9" s="425"/>
      <c r="W9" s="253" t="s">
        <v>37</v>
      </c>
      <c r="X9" s="253">
        <v>20</v>
      </c>
      <c r="Y9" s="252">
        <f>ROUND($AF$1*X9/1000,1)</f>
        <v>1.4</v>
      </c>
      <c r="Z9" s="255" t="s">
        <v>0</v>
      </c>
      <c r="AA9" s="321"/>
      <c r="AB9" s="58">
        <f>Y9*AA9</f>
        <v>0</v>
      </c>
      <c r="AC9" s="528"/>
      <c r="AD9" s="56" t="s">
        <v>62</v>
      </c>
      <c r="AE9" s="56">
        <v>6</v>
      </c>
      <c r="AF9" s="252">
        <f>ROUND($AF$1*AE9/1000,1)</f>
        <v>0.4</v>
      </c>
      <c r="AG9" s="97" t="s">
        <v>0</v>
      </c>
      <c r="AH9" s="321"/>
      <c r="AI9" s="240">
        <f aca="true" t="shared" si="2" ref="AI9:AI20">AF9*AH9</f>
        <v>0</v>
      </c>
      <c r="AJ9" s="58" t="e">
        <f>#REF!*#REF!</f>
        <v>#REF!</v>
      </c>
      <c r="AK9" s="20"/>
      <c r="AL9" s="20"/>
      <c r="AM9" s="20"/>
      <c r="AN9" s="20"/>
      <c r="AO9" s="20"/>
      <c r="AP9" s="20"/>
      <c r="AQ9" s="20"/>
      <c r="AR9" s="528"/>
      <c r="AS9" s="56" t="s">
        <v>218</v>
      </c>
      <c r="AT9" s="56">
        <v>30</v>
      </c>
      <c r="AU9" s="252">
        <f>ROUND($AF$1*AT9/1000,1)</f>
        <v>2.2</v>
      </c>
      <c r="AV9" s="97" t="s">
        <v>0</v>
      </c>
      <c r="AW9" s="20"/>
      <c r="AX9" s="20"/>
      <c r="AY9" s="20"/>
      <c r="AZ9" s="530"/>
      <c r="BA9" s="56" t="s">
        <v>216</v>
      </c>
      <c r="BB9" s="56">
        <v>8</v>
      </c>
      <c r="BC9" s="252">
        <f>ROUND($AF$1*BB9/1000,1)</f>
        <v>0.6</v>
      </c>
      <c r="BD9" s="93" t="s">
        <v>0</v>
      </c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50" customFormat="1" ht="18.75" customHeight="1">
      <c r="A10" s="425"/>
      <c r="B10" s="22" t="s">
        <v>270</v>
      </c>
      <c r="C10" s="22">
        <v>5</v>
      </c>
      <c r="D10" s="75">
        <f>ROUND($AF$1*C10/90,0)</f>
        <v>4</v>
      </c>
      <c r="E10" s="24" t="s">
        <v>19</v>
      </c>
      <c r="F10" s="321"/>
      <c r="G10" s="58">
        <f t="shared" si="0"/>
        <v>0</v>
      </c>
      <c r="H10" s="530"/>
      <c r="I10" s="56" t="s">
        <v>220</v>
      </c>
      <c r="J10" s="56">
        <v>2.5</v>
      </c>
      <c r="K10" s="252">
        <f>ROUND($AF$1*J10/1000,1)</f>
        <v>0.2</v>
      </c>
      <c r="L10" s="93" t="s">
        <v>0</v>
      </c>
      <c r="M10" s="321"/>
      <c r="N10" s="58"/>
      <c r="O10" s="425"/>
      <c r="P10" s="254" t="s">
        <v>219</v>
      </c>
      <c r="Q10" s="254">
        <v>2</v>
      </c>
      <c r="R10" s="252">
        <f>ROUND($AF$1*Q10/1000,1)</f>
        <v>0.1</v>
      </c>
      <c r="S10" s="255" t="s">
        <v>0</v>
      </c>
      <c r="T10" s="321"/>
      <c r="U10" s="247">
        <f t="shared" si="1"/>
        <v>0</v>
      </c>
      <c r="V10" s="425"/>
      <c r="W10" s="253"/>
      <c r="X10" s="257"/>
      <c r="Y10" s="252"/>
      <c r="Z10" s="255"/>
      <c r="AA10" s="321"/>
      <c r="AB10" s="58">
        <f>Y10*AA10</f>
        <v>0</v>
      </c>
      <c r="AC10" s="528"/>
      <c r="AD10" s="261" t="s">
        <v>221</v>
      </c>
      <c r="AE10" s="56">
        <v>3</v>
      </c>
      <c r="AF10" s="252">
        <f>ROUND($AF$1*AE10/1000,1)</f>
        <v>0.2</v>
      </c>
      <c r="AG10" s="97" t="s">
        <v>0</v>
      </c>
      <c r="AH10" s="321"/>
      <c r="AI10" s="240">
        <f t="shared" si="2"/>
        <v>0</v>
      </c>
      <c r="AJ10" s="58" t="e">
        <f>#REF!*#REF!</f>
        <v>#REF!</v>
      </c>
      <c r="AK10" s="20"/>
      <c r="AL10" s="20"/>
      <c r="AM10" s="20"/>
      <c r="AN10" s="20"/>
      <c r="AO10" s="20"/>
      <c r="AP10" s="20"/>
      <c r="AQ10" s="20"/>
      <c r="AR10" s="528"/>
      <c r="AS10" s="56" t="s">
        <v>62</v>
      </c>
      <c r="AT10" s="56">
        <v>6</v>
      </c>
      <c r="AU10" s="252">
        <f>ROUND($AF$1*AT10/1000,1)</f>
        <v>0.4</v>
      </c>
      <c r="AV10" s="97" t="s">
        <v>0</v>
      </c>
      <c r="AW10" s="20"/>
      <c r="AX10" s="20"/>
      <c r="AY10" s="20"/>
      <c r="AZ10" s="530"/>
      <c r="BA10" s="56" t="s">
        <v>63</v>
      </c>
      <c r="BB10" s="56">
        <v>8.5</v>
      </c>
      <c r="BC10" s="252">
        <f>ROUND($AF$1*BB10/1000,1)</f>
        <v>0.6</v>
      </c>
      <c r="BD10" s="93" t="s">
        <v>0</v>
      </c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50" customFormat="1" ht="18.75" customHeight="1">
      <c r="A11" s="425"/>
      <c r="B11" s="253"/>
      <c r="C11" s="253"/>
      <c r="D11" s="253"/>
      <c r="E11" s="255"/>
      <c r="F11" s="321"/>
      <c r="G11" s="58">
        <f t="shared" si="0"/>
        <v>0</v>
      </c>
      <c r="H11" s="530"/>
      <c r="I11" s="56" t="s">
        <v>222</v>
      </c>
      <c r="J11" s="56">
        <v>0.5</v>
      </c>
      <c r="K11" s="252" t="s">
        <v>21</v>
      </c>
      <c r="L11" s="93" t="s">
        <v>0</v>
      </c>
      <c r="M11" s="321"/>
      <c r="N11" s="58"/>
      <c r="O11" s="425"/>
      <c r="P11" s="254" t="s">
        <v>23</v>
      </c>
      <c r="Q11" s="254">
        <v>10</v>
      </c>
      <c r="R11" s="252">
        <f>ROUND($AF$1*Q11/1000,1)</f>
        <v>0.7</v>
      </c>
      <c r="S11" s="255" t="s">
        <v>0</v>
      </c>
      <c r="T11" s="321"/>
      <c r="U11" s="247"/>
      <c r="V11" s="425"/>
      <c r="W11" s="262" t="s">
        <v>74</v>
      </c>
      <c r="X11" s="263">
        <v>0.5</v>
      </c>
      <c r="Y11" s="253">
        <f>ROUND($AE$1*X11,0)</f>
        <v>36</v>
      </c>
      <c r="Z11" s="258" t="s">
        <v>75</v>
      </c>
      <c r="AA11" s="321"/>
      <c r="AB11" s="58">
        <f>Y11*AA11</f>
        <v>0</v>
      </c>
      <c r="AC11" s="528"/>
      <c r="AD11" s="56" t="s">
        <v>223</v>
      </c>
      <c r="AE11" s="56">
        <v>2.5</v>
      </c>
      <c r="AF11" s="252" t="s">
        <v>21</v>
      </c>
      <c r="AG11" s="97" t="s">
        <v>0</v>
      </c>
      <c r="AH11" s="321"/>
      <c r="AI11" s="240"/>
      <c r="AJ11" s="58" t="e">
        <f>#REF!*#REF!</f>
        <v>#REF!</v>
      </c>
      <c r="AK11" s="20"/>
      <c r="AL11" s="20"/>
      <c r="AM11" s="20"/>
      <c r="AN11" s="20"/>
      <c r="AO11" s="20"/>
      <c r="AP11" s="20"/>
      <c r="AQ11" s="20"/>
      <c r="AR11" s="528"/>
      <c r="AS11" s="261" t="s">
        <v>221</v>
      </c>
      <c r="AT11" s="56">
        <v>3</v>
      </c>
      <c r="AU11" s="252">
        <f>ROUND($AF$1*AT11/1000,1)</f>
        <v>0.2</v>
      </c>
      <c r="AV11" s="97" t="s">
        <v>0</v>
      </c>
      <c r="AW11" s="20"/>
      <c r="AX11" s="20"/>
      <c r="AY11" s="20"/>
      <c r="AZ11" s="530"/>
      <c r="BA11" s="56" t="s">
        <v>220</v>
      </c>
      <c r="BB11" s="56">
        <v>2.5</v>
      </c>
      <c r="BC11" s="252">
        <f>ROUND($AF$1*BB11/1000,1)</f>
        <v>0.2</v>
      </c>
      <c r="BD11" s="93" t="s">
        <v>0</v>
      </c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50" customFormat="1" ht="18.75" customHeight="1">
      <c r="A12" s="425"/>
      <c r="B12" s="27"/>
      <c r="C12" s="266"/>
      <c r="D12" s="252"/>
      <c r="E12" s="255"/>
      <c r="F12" s="321"/>
      <c r="G12" s="58"/>
      <c r="H12" s="530"/>
      <c r="I12" s="56" t="s">
        <v>224</v>
      </c>
      <c r="J12" s="56">
        <v>25</v>
      </c>
      <c r="K12" s="252">
        <f>ROUND($AF$1*J12/1000,1)</f>
        <v>1.8</v>
      </c>
      <c r="L12" s="93" t="s">
        <v>0</v>
      </c>
      <c r="M12" s="321"/>
      <c r="N12" s="58"/>
      <c r="O12" s="425"/>
      <c r="P12" s="254"/>
      <c r="Q12" s="254"/>
      <c r="R12" s="252"/>
      <c r="S12" s="255"/>
      <c r="T12" s="321"/>
      <c r="U12" s="58">
        <f>R12*T12</f>
        <v>0</v>
      </c>
      <c r="V12" s="425"/>
      <c r="W12" s="27"/>
      <c r="X12" s="266"/>
      <c r="Y12" s="252"/>
      <c r="Z12" s="255"/>
      <c r="AA12" s="321"/>
      <c r="AB12" s="58">
        <f>Y12*AA12</f>
        <v>0</v>
      </c>
      <c r="AC12" s="528"/>
      <c r="AD12" s="56" t="s">
        <v>69</v>
      </c>
      <c r="AE12" s="56">
        <v>6</v>
      </c>
      <c r="AF12" s="252">
        <f>ROUND($AF$1*AE12/1000,1)</f>
        <v>0.4</v>
      </c>
      <c r="AG12" s="97" t="s">
        <v>0</v>
      </c>
      <c r="AH12" s="321"/>
      <c r="AI12" s="240">
        <f t="shared" si="2"/>
        <v>0</v>
      </c>
      <c r="AJ12" s="58"/>
      <c r="AK12" s="20"/>
      <c r="AL12" s="20"/>
      <c r="AM12" s="20"/>
      <c r="AN12" s="20"/>
      <c r="AO12" s="20"/>
      <c r="AP12" s="20"/>
      <c r="AQ12" s="20"/>
      <c r="AR12" s="528"/>
      <c r="AS12" s="56" t="s">
        <v>223</v>
      </c>
      <c r="AT12" s="56">
        <v>2.5</v>
      </c>
      <c r="AU12" s="252" t="s">
        <v>21</v>
      </c>
      <c r="AV12" s="97" t="s">
        <v>0</v>
      </c>
      <c r="AW12" s="20"/>
      <c r="AX12" s="20"/>
      <c r="AY12" s="20"/>
      <c r="AZ12" s="530"/>
      <c r="BA12" s="56" t="s">
        <v>222</v>
      </c>
      <c r="BB12" s="56">
        <v>0.5</v>
      </c>
      <c r="BC12" s="252" t="s">
        <v>21</v>
      </c>
      <c r="BD12" s="93" t="s">
        <v>0</v>
      </c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50" customFormat="1" ht="18.75" customHeight="1">
      <c r="A13" s="425"/>
      <c r="B13" s="263"/>
      <c r="C13" s="263"/>
      <c r="D13" s="264"/>
      <c r="E13" s="265"/>
      <c r="F13" s="321"/>
      <c r="G13" s="58"/>
      <c r="H13" s="530"/>
      <c r="I13" s="56" t="s">
        <v>225</v>
      </c>
      <c r="J13" s="56">
        <v>2.5</v>
      </c>
      <c r="K13" s="252">
        <f>ROUND($AF$1*J13/1000,1)</f>
        <v>0.2</v>
      </c>
      <c r="L13" s="93" t="s">
        <v>0</v>
      </c>
      <c r="M13" s="321"/>
      <c r="N13" s="58"/>
      <c r="O13" s="425"/>
      <c r="P13" s="254"/>
      <c r="Q13" s="254"/>
      <c r="R13" s="252"/>
      <c r="S13" s="255"/>
      <c r="T13" s="321"/>
      <c r="U13" s="247"/>
      <c r="V13" s="425"/>
      <c r="W13" s="263"/>
      <c r="X13" s="263"/>
      <c r="Y13" s="264"/>
      <c r="Z13" s="265"/>
      <c r="AA13" s="321"/>
      <c r="AB13" s="58"/>
      <c r="AC13" s="528"/>
      <c r="AD13" s="56" t="s">
        <v>79</v>
      </c>
      <c r="AE13" s="56">
        <v>0.5</v>
      </c>
      <c r="AF13" s="252" t="s">
        <v>21</v>
      </c>
      <c r="AG13" s="97" t="s">
        <v>0</v>
      </c>
      <c r="AH13" s="321"/>
      <c r="AI13" s="240"/>
      <c r="AJ13" s="58"/>
      <c r="AK13" s="20"/>
      <c r="AL13" s="20"/>
      <c r="AM13" s="20"/>
      <c r="AN13" s="20"/>
      <c r="AO13" s="20"/>
      <c r="AP13" s="20"/>
      <c r="AQ13" s="20"/>
      <c r="AR13" s="528"/>
      <c r="AS13" s="56" t="s">
        <v>69</v>
      </c>
      <c r="AT13" s="56">
        <v>6</v>
      </c>
      <c r="AU13" s="252">
        <f>ROUND($AF$1*AT13/1000,1)</f>
        <v>0.4</v>
      </c>
      <c r="AV13" s="97" t="s">
        <v>0</v>
      </c>
      <c r="AW13" s="20"/>
      <c r="AX13" s="20"/>
      <c r="AY13" s="20"/>
      <c r="AZ13" s="530"/>
      <c r="BA13" s="56" t="s">
        <v>224</v>
      </c>
      <c r="BB13" s="56">
        <v>25</v>
      </c>
      <c r="BC13" s="252">
        <f>ROUND($AF$1*BB13/1000,1)</f>
        <v>1.8</v>
      </c>
      <c r="BD13" s="93" t="s">
        <v>0</v>
      </c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50" customFormat="1" ht="18.75" customHeight="1">
      <c r="A14" s="425"/>
      <c r="B14" s="263"/>
      <c r="C14" s="263"/>
      <c r="D14" s="264"/>
      <c r="E14" s="265"/>
      <c r="F14" s="321"/>
      <c r="G14" s="58"/>
      <c r="H14" s="530"/>
      <c r="I14" s="148" t="s">
        <v>226</v>
      </c>
      <c r="J14" s="148">
        <v>15</v>
      </c>
      <c r="K14" s="252">
        <f>ROUND($AF$1*J14/1000,1)</f>
        <v>1.1</v>
      </c>
      <c r="L14" s="93" t="s">
        <v>0</v>
      </c>
      <c r="M14" s="321"/>
      <c r="N14" s="58"/>
      <c r="O14" s="425"/>
      <c r="P14" s="254"/>
      <c r="Q14" s="254"/>
      <c r="R14" s="252"/>
      <c r="S14" s="255"/>
      <c r="T14" s="321"/>
      <c r="U14" s="247"/>
      <c r="V14" s="425"/>
      <c r="W14" s="267"/>
      <c r="X14" s="267"/>
      <c r="Y14" s="267"/>
      <c r="Z14" s="267"/>
      <c r="AA14" s="321"/>
      <c r="AB14" s="58"/>
      <c r="AC14" s="528"/>
      <c r="AD14" s="253"/>
      <c r="AE14" s="253"/>
      <c r="AF14" s="93"/>
      <c r="AG14" s="97"/>
      <c r="AH14" s="321"/>
      <c r="AI14" s="240"/>
      <c r="AJ14" s="58"/>
      <c r="AK14" s="20"/>
      <c r="AL14" s="20"/>
      <c r="AM14" s="20"/>
      <c r="AN14" s="20"/>
      <c r="AO14" s="20"/>
      <c r="AP14" s="20"/>
      <c r="AQ14" s="20"/>
      <c r="AR14" s="528"/>
      <c r="AS14" s="56" t="s">
        <v>79</v>
      </c>
      <c r="AT14" s="56">
        <v>0.5</v>
      </c>
      <c r="AU14" s="252" t="s">
        <v>21</v>
      </c>
      <c r="AV14" s="97" t="s">
        <v>0</v>
      </c>
      <c r="AW14" s="20"/>
      <c r="AX14" s="20"/>
      <c r="AY14" s="20"/>
      <c r="AZ14" s="530"/>
      <c r="BA14" s="56" t="s">
        <v>225</v>
      </c>
      <c r="BB14" s="56">
        <v>2.5</v>
      </c>
      <c r="BC14" s="252">
        <f>ROUND($AF$1*BB14/1000,1)</f>
        <v>0.2</v>
      </c>
      <c r="BD14" s="93" t="s">
        <v>0</v>
      </c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40" customFormat="1" ht="18.75" customHeight="1">
      <c r="A15" s="425"/>
      <c r="B15" s="263"/>
      <c r="C15" s="263"/>
      <c r="D15" s="264"/>
      <c r="E15" s="265"/>
      <c r="F15" s="321"/>
      <c r="G15" s="58"/>
      <c r="H15" s="531"/>
      <c r="I15" s="268"/>
      <c r="J15" s="269"/>
      <c r="K15" s="93"/>
      <c r="L15" s="93"/>
      <c r="M15" s="321"/>
      <c r="N15" s="58">
        <f>K15*M15</f>
        <v>0</v>
      </c>
      <c r="O15" s="425"/>
      <c r="P15" s="254"/>
      <c r="Q15" s="254"/>
      <c r="R15" s="252"/>
      <c r="S15" s="255"/>
      <c r="T15" s="321"/>
      <c r="U15" s="247">
        <f t="shared" si="1"/>
        <v>0</v>
      </c>
      <c r="V15" s="425"/>
      <c r="W15" s="257"/>
      <c r="X15" s="257"/>
      <c r="Y15" s="264"/>
      <c r="Z15" s="265"/>
      <c r="AA15" s="321"/>
      <c r="AB15" s="58">
        <f>Y12*AA15</f>
        <v>0</v>
      </c>
      <c r="AC15" s="528"/>
      <c r="AD15" s="253"/>
      <c r="AE15" s="253"/>
      <c r="AF15" s="93"/>
      <c r="AG15" s="97"/>
      <c r="AH15" s="321"/>
      <c r="AI15" s="240"/>
      <c r="AJ15" s="58" t="e">
        <f>#REF!*#REF!</f>
        <v>#REF!</v>
      </c>
      <c r="AK15" s="221"/>
      <c r="AL15" s="221"/>
      <c r="AM15" s="221"/>
      <c r="AN15" s="221"/>
      <c r="AO15" s="221"/>
      <c r="AP15" s="221"/>
      <c r="AQ15" s="221"/>
      <c r="AR15" s="528"/>
      <c r="AS15" s="253"/>
      <c r="AT15" s="253"/>
      <c r="AU15" s="93"/>
      <c r="AV15" s="97"/>
      <c r="AW15" s="221"/>
      <c r="AX15" s="221"/>
      <c r="AY15" s="221"/>
      <c r="AZ15" s="530"/>
      <c r="BA15" s="148" t="s">
        <v>226</v>
      </c>
      <c r="BB15" s="148">
        <v>15</v>
      </c>
      <c r="BC15" s="252">
        <f>ROUND($AF$1*BB15/1000,1)</f>
        <v>1.1</v>
      </c>
      <c r="BD15" s="93" t="s">
        <v>0</v>
      </c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s="50" customFormat="1" ht="18.75" customHeight="1">
      <c r="A16" s="374" t="s">
        <v>39</v>
      </c>
      <c r="B16" s="374"/>
      <c r="C16" s="374"/>
      <c r="D16" s="374"/>
      <c r="E16" s="374"/>
      <c r="F16" s="322"/>
      <c r="G16" s="250"/>
      <c r="H16" s="374" t="s">
        <v>10</v>
      </c>
      <c r="I16" s="374"/>
      <c r="J16" s="374"/>
      <c r="K16" s="374"/>
      <c r="L16" s="417"/>
      <c r="M16" s="322"/>
      <c r="N16" s="251"/>
      <c r="O16" s="374" t="s">
        <v>39</v>
      </c>
      <c r="P16" s="374"/>
      <c r="Q16" s="374"/>
      <c r="R16" s="374"/>
      <c r="S16" s="374"/>
      <c r="T16" s="322"/>
      <c r="U16" s="251"/>
      <c r="V16" s="374" t="s">
        <v>39</v>
      </c>
      <c r="W16" s="374"/>
      <c r="X16" s="374"/>
      <c r="Y16" s="374"/>
      <c r="Z16" s="374"/>
      <c r="AA16" s="322"/>
      <c r="AB16" s="251"/>
      <c r="AC16" s="374" t="s">
        <v>39</v>
      </c>
      <c r="AD16" s="374"/>
      <c r="AE16" s="374"/>
      <c r="AF16" s="374"/>
      <c r="AG16" s="374"/>
      <c r="AH16" s="322"/>
      <c r="AI16" s="248"/>
      <c r="AJ16" s="246"/>
      <c r="AK16" s="20"/>
      <c r="AL16" s="20"/>
      <c r="AM16" s="20"/>
      <c r="AN16" s="20"/>
      <c r="AO16" s="20"/>
      <c r="AP16" s="20"/>
      <c r="AQ16" s="20"/>
      <c r="AR16" s="528"/>
      <c r="AS16" s="253"/>
      <c r="AT16" s="253"/>
      <c r="AU16" s="93"/>
      <c r="AV16" s="97"/>
      <c r="AW16" s="20"/>
      <c r="AX16" s="20"/>
      <c r="AY16" s="20"/>
      <c r="AZ16" s="531"/>
      <c r="BA16" s="268"/>
      <c r="BB16" s="269"/>
      <c r="BC16" s="93"/>
      <c r="BD16" s="93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50" customFormat="1" ht="18.75" customHeight="1">
      <c r="A17" s="372" t="s">
        <v>227</v>
      </c>
      <c r="B17" s="78" t="s">
        <v>18</v>
      </c>
      <c r="C17" s="78">
        <v>42</v>
      </c>
      <c r="D17" s="75">
        <f>ROUND($AE$1*C17/1000,1)</f>
        <v>3</v>
      </c>
      <c r="E17" s="93" t="s">
        <v>0</v>
      </c>
      <c r="F17" s="321"/>
      <c r="G17" s="58">
        <f>D17*F17</f>
        <v>0</v>
      </c>
      <c r="H17" s="518" t="s">
        <v>294</v>
      </c>
      <c r="I17" s="270" t="s">
        <v>228</v>
      </c>
      <c r="J17" s="270">
        <v>15</v>
      </c>
      <c r="K17" s="271" t="s">
        <v>229</v>
      </c>
      <c r="L17" s="252" t="s">
        <v>0</v>
      </c>
      <c r="M17" s="321"/>
      <c r="N17" s="58"/>
      <c r="O17" s="424" t="s">
        <v>227</v>
      </c>
      <c r="P17" s="58" t="s">
        <v>196</v>
      </c>
      <c r="Q17" s="58">
        <v>47</v>
      </c>
      <c r="R17" s="252">
        <v>3</v>
      </c>
      <c r="S17" s="255" t="s">
        <v>54</v>
      </c>
      <c r="T17" s="321"/>
      <c r="U17" s="58">
        <f>R17*T17</f>
        <v>0</v>
      </c>
      <c r="V17" s="424" t="s">
        <v>230</v>
      </c>
      <c r="W17" s="272" t="s">
        <v>231</v>
      </c>
      <c r="X17" s="272">
        <v>1.25</v>
      </c>
      <c r="Y17" s="253">
        <f>ROUND($AE$1*X17,0)</f>
        <v>90</v>
      </c>
      <c r="Z17" s="272" t="s">
        <v>232</v>
      </c>
      <c r="AA17" s="321"/>
      <c r="AB17" s="58">
        <f>Y17*AA17</f>
        <v>0</v>
      </c>
      <c r="AC17" s="468" t="s">
        <v>233</v>
      </c>
      <c r="AD17" s="272" t="s">
        <v>234</v>
      </c>
      <c r="AE17" s="272">
        <v>1</v>
      </c>
      <c r="AF17" s="253">
        <f>ROUND($AE$1*AE17,0)</f>
        <v>72</v>
      </c>
      <c r="AG17" s="255" t="s">
        <v>235</v>
      </c>
      <c r="AH17" s="321"/>
      <c r="AI17" s="240">
        <f t="shared" si="2"/>
        <v>0</v>
      </c>
      <c r="AJ17" s="58" t="e">
        <f>#REF!*#REF!</f>
        <v>#REF!</v>
      </c>
      <c r="AK17" s="20"/>
      <c r="AL17" s="20"/>
      <c r="AM17" s="20"/>
      <c r="AN17" s="20"/>
      <c r="AO17" s="20"/>
      <c r="AP17" s="20"/>
      <c r="AQ17" s="20"/>
      <c r="AR17" s="374" t="s">
        <v>39</v>
      </c>
      <c r="AS17" s="374"/>
      <c r="AT17" s="374"/>
      <c r="AU17" s="374"/>
      <c r="AV17" s="374"/>
      <c r="AW17" s="20"/>
      <c r="AX17" s="20"/>
      <c r="AY17" s="20"/>
      <c r="AZ17" s="374" t="s">
        <v>10</v>
      </c>
      <c r="BA17" s="374"/>
      <c r="BB17" s="374"/>
      <c r="BC17" s="374"/>
      <c r="BD17" s="417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50" customFormat="1" ht="18.75" customHeight="1">
      <c r="A18" s="373"/>
      <c r="B18" s="78" t="s">
        <v>296</v>
      </c>
      <c r="C18" s="78">
        <v>55</v>
      </c>
      <c r="D18" s="75">
        <f>ROUND($AE$1*C18/1000,1)</f>
        <v>4</v>
      </c>
      <c r="E18" s="93" t="s">
        <v>0</v>
      </c>
      <c r="F18" s="321"/>
      <c r="G18" s="58">
        <f>D18*F18</f>
        <v>0</v>
      </c>
      <c r="H18" s="519"/>
      <c r="I18" s="270" t="s">
        <v>293</v>
      </c>
      <c r="J18" s="270">
        <v>5</v>
      </c>
      <c r="K18" s="271" t="s">
        <v>229</v>
      </c>
      <c r="L18" s="252" t="s">
        <v>0</v>
      </c>
      <c r="M18" s="321"/>
      <c r="N18" s="58"/>
      <c r="O18" s="425"/>
      <c r="P18" s="58" t="s">
        <v>45</v>
      </c>
      <c r="Q18" s="78">
        <v>42</v>
      </c>
      <c r="R18" s="75">
        <f>ROUND($AE$1*Q18/1000,1)</f>
        <v>3</v>
      </c>
      <c r="S18" s="255" t="s">
        <v>0</v>
      </c>
      <c r="T18" s="321"/>
      <c r="U18" s="58">
        <f>R18*T18</f>
        <v>0</v>
      </c>
      <c r="V18" s="425"/>
      <c r="W18" s="267"/>
      <c r="X18" s="267"/>
      <c r="Y18" s="267"/>
      <c r="Z18" s="267"/>
      <c r="AA18" s="321"/>
      <c r="AB18" s="58">
        <f>Y18*AA18</f>
        <v>0</v>
      </c>
      <c r="AC18" s="468"/>
      <c r="AD18" s="254"/>
      <c r="AE18" s="266"/>
      <c r="AF18" s="252"/>
      <c r="AG18" s="255"/>
      <c r="AH18" s="321"/>
      <c r="AI18" s="240">
        <f t="shared" si="2"/>
        <v>0</v>
      </c>
      <c r="AJ18" s="58" t="e">
        <f>#REF!*#REF!</f>
        <v>#REF!</v>
      </c>
      <c r="AK18" s="20"/>
      <c r="AL18" s="20"/>
      <c r="AM18" s="20"/>
      <c r="AN18" s="20"/>
      <c r="AO18" s="20"/>
      <c r="AP18" s="20"/>
      <c r="AQ18" s="20"/>
      <c r="AR18" s="521" t="s">
        <v>233</v>
      </c>
      <c r="AS18" s="272" t="s">
        <v>234</v>
      </c>
      <c r="AT18" s="272">
        <v>16</v>
      </c>
      <c r="AU18" s="252">
        <v>64</v>
      </c>
      <c r="AV18" s="255" t="s">
        <v>235</v>
      </c>
      <c r="AW18" s="20"/>
      <c r="AX18" s="20"/>
      <c r="AY18" s="20"/>
      <c r="AZ18" s="372" t="s">
        <v>227</v>
      </c>
      <c r="BA18" s="78" t="s">
        <v>18</v>
      </c>
      <c r="BB18" s="78">
        <v>34</v>
      </c>
      <c r="BC18" s="252">
        <f>ROUND($AF$1*BB18/1000,1)</f>
        <v>2.4</v>
      </c>
      <c r="BD18" s="93" t="s">
        <v>0</v>
      </c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50" customFormat="1" ht="18.75" customHeight="1">
      <c r="A19" s="373"/>
      <c r="B19" s="78" t="s">
        <v>43</v>
      </c>
      <c r="C19" s="78">
        <v>42</v>
      </c>
      <c r="D19" s="75">
        <f>ROUND($AE$1*C19/1000,1)</f>
        <v>3</v>
      </c>
      <c r="E19" s="93" t="s">
        <v>0</v>
      </c>
      <c r="F19" s="321"/>
      <c r="G19" s="58">
        <f>D19*F19</f>
        <v>0</v>
      </c>
      <c r="H19" s="519"/>
      <c r="I19" s="253" t="s">
        <v>50</v>
      </c>
      <c r="J19" s="253">
        <v>10</v>
      </c>
      <c r="K19" s="271" t="s">
        <v>229</v>
      </c>
      <c r="L19" s="271" t="s">
        <v>236</v>
      </c>
      <c r="M19" s="321"/>
      <c r="N19" s="58"/>
      <c r="O19" s="425"/>
      <c r="P19" s="58" t="s">
        <v>58</v>
      </c>
      <c r="Q19" s="78">
        <v>42</v>
      </c>
      <c r="R19" s="75">
        <f>ROUND($AE$1*Q19/1000,1)</f>
        <v>3</v>
      </c>
      <c r="S19" s="255" t="s">
        <v>0</v>
      </c>
      <c r="T19" s="321"/>
      <c r="U19" s="58">
        <f>R19*T19</f>
        <v>0</v>
      </c>
      <c r="V19" s="425"/>
      <c r="W19" s="273" t="s">
        <v>237</v>
      </c>
      <c r="X19" s="272">
        <v>42</v>
      </c>
      <c r="Y19" s="75">
        <f>ROUND($AE$1*X19/1000,1)</f>
        <v>3</v>
      </c>
      <c r="Z19" s="272" t="s">
        <v>19</v>
      </c>
      <c r="AA19" s="321"/>
      <c r="AB19" s="58">
        <f>Y19*AA19</f>
        <v>0</v>
      </c>
      <c r="AC19" s="468"/>
      <c r="AD19" s="266"/>
      <c r="AE19" s="266"/>
      <c r="AF19" s="252"/>
      <c r="AG19" s="255"/>
      <c r="AH19" s="321"/>
      <c r="AI19" s="240">
        <f t="shared" si="2"/>
        <v>0</v>
      </c>
      <c r="AJ19" s="58" t="e">
        <f>#REF!*#REF!</f>
        <v>#REF!</v>
      </c>
      <c r="AK19" s="20"/>
      <c r="AL19" s="20"/>
      <c r="AM19" s="20"/>
      <c r="AN19" s="20"/>
      <c r="AO19" s="20"/>
      <c r="AP19" s="20"/>
      <c r="AQ19" s="20"/>
      <c r="AR19" s="521"/>
      <c r="AS19" s="254"/>
      <c r="AT19" s="266"/>
      <c r="AU19" s="252"/>
      <c r="AV19" s="255"/>
      <c r="AW19" s="20"/>
      <c r="AX19" s="20"/>
      <c r="AY19" s="20"/>
      <c r="AZ19" s="373"/>
      <c r="BA19" s="78" t="s">
        <v>45</v>
      </c>
      <c r="BB19" s="78">
        <v>34</v>
      </c>
      <c r="BC19" s="252">
        <f>ROUND($AF$1*BB19/1000,1)</f>
        <v>2.4</v>
      </c>
      <c r="BD19" s="93" t="s">
        <v>0</v>
      </c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50" customFormat="1" ht="18.75" customHeight="1">
      <c r="A20" s="373"/>
      <c r="B20" s="56"/>
      <c r="C20" s="56"/>
      <c r="D20" s="93"/>
      <c r="E20" s="93"/>
      <c r="F20" s="321"/>
      <c r="G20" s="58">
        <f>D20*F20</f>
        <v>0</v>
      </c>
      <c r="H20" s="519"/>
      <c r="I20" s="274" t="s">
        <v>238</v>
      </c>
      <c r="J20" s="218">
        <v>87</v>
      </c>
      <c r="K20" s="75">
        <f>ROUND($AE$1*J20/1000,0)</f>
        <v>6</v>
      </c>
      <c r="L20" s="78" t="s">
        <v>48</v>
      </c>
      <c r="M20" s="321"/>
      <c r="N20" s="58"/>
      <c r="O20" s="425"/>
      <c r="P20" s="253"/>
      <c r="Q20" s="253"/>
      <c r="R20" s="93"/>
      <c r="S20" s="97"/>
      <c r="T20" s="321"/>
      <c r="U20" s="58">
        <f>R20*T20</f>
        <v>0</v>
      </c>
      <c r="V20" s="425"/>
      <c r="W20" s="338" t="s">
        <v>238</v>
      </c>
      <c r="X20" s="52">
        <v>87</v>
      </c>
      <c r="Y20" s="75" t="s">
        <v>21</v>
      </c>
      <c r="Z20" s="61" t="s">
        <v>48</v>
      </c>
      <c r="AA20" s="321"/>
      <c r="AB20" s="58"/>
      <c r="AC20" s="468"/>
      <c r="AD20" s="266" t="s">
        <v>195</v>
      </c>
      <c r="AE20" s="272">
        <v>60</v>
      </c>
      <c r="AF20" s="252">
        <v>3</v>
      </c>
      <c r="AG20" s="255" t="s">
        <v>54</v>
      </c>
      <c r="AH20" s="321"/>
      <c r="AI20" s="240">
        <f t="shared" si="2"/>
        <v>0</v>
      </c>
      <c r="AJ20" s="58" t="e">
        <f>#REF!*#REF!</f>
        <v>#REF!</v>
      </c>
      <c r="AK20" s="20"/>
      <c r="AL20" s="20"/>
      <c r="AM20" s="20"/>
      <c r="AN20" s="20"/>
      <c r="AO20" s="20"/>
      <c r="AP20" s="20"/>
      <c r="AQ20" s="20"/>
      <c r="AR20" s="521"/>
      <c r="AS20" s="266"/>
      <c r="AT20" s="266"/>
      <c r="AU20" s="252"/>
      <c r="AV20" s="255"/>
      <c r="AW20" s="20"/>
      <c r="AX20" s="20"/>
      <c r="AY20" s="20"/>
      <c r="AZ20" s="373"/>
      <c r="BA20" s="78" t="s">
        <v>43</v>
      </c>
      <c r="BB20" s="78">
        <v>34</v>
      </c>
      <c r="BC20" s="252">
        <f>ROUND($AF$1*BB20/1000,1)</f>
        <v>2.4</v>
      </c>
      <c r="BD20" s="93" t="s">
        <v>0</v>
      </c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50" customFormat="1" ht="18.75" customHeight="1">
      <c r="A21" s="373"/>
      <c r="B21" s="274" t="s">
        <v>238</v>
      </c>
      <c r="C21" s="218">
        <v>128</v>
      </c>
      <c r="D21" s="75">
        <f>ROUND($AE$1*C21/1000,0)</f>
        <v>9</v>
      </c>
      <c r="E21" s="78" t="s">
        <v>48</v>
      </c>
      <c r="F21" s="321"/>
      <c r="G21" s="58">
        <f>D21*F21</f>
        <v>0</v>
      </c>
      <c r="H21" s="519"/>
      <c r="I21" s="266"/>
      <c r="J21" s="266"/>
      <c r="K21" s="252"/>
      <c r="L21" s="255"/>
      <c r="M21" s="321"/>
      <c r="N21" s="58"/>
      <c r="O21" s="425"/>
      <c r="P21" s="338" t="s">
        <v>238</v>
      </c>
      <c r="Q21" s="52">
        <v>128</v>
      </c>
      <c r="R21" s="75" t="s">
        <v>21</v>
      </c>
      <c r="S21" s="61" t="s">
        <v>48</v>
      </c>
      <c r="T21" s="321"/>
      <c r="U21" s="58"/>
      <c r="V21" s="425"/>
      <c r="W21" s="339" t="s">
        <v>269</v>
      </c>
      <c r="X21" s="22"/>
      <c r="Y21" s="93"/>
      <c r="Z21" s="97"/>
      <c r="AA21" s="321"/>
      <c r="AB21" s="58"/>
      <c r="AC21" s="468"/>
      <c r="AD21" s="266"/>
      <c r="AE21" s="266"/>
      <c r="AF21" s="252"/>
      <c r="AG21" s="255"/>
      <c r="AH21" s="321"/>
      <c r="AI21" s="240"/>
      <c r="AJ21" s="58"/>
      <c r="AK21" s="20"/>
      <c r="AL21" s="20"/>
      <c r="AM21" s="20"/>
      <c r="AN21" s="20"/>
      <c r="AO21" s="20"/>
      <c r="AP21" s="20"/>
      <c r="AQ21" s="20"/>
      <c r="AR21" s="521"/>
      <c r="AS21" s="266" t="s">
        <v>58</v>
      </c>
      <c r="AT21" s="272">
        <v>60</v>
      </c>
      <c r="AU21" s="252">
        <f>ROUND($AF$1*AT21/1000,1)</f>
        <v>4.3</v>
      </c>
      <c r="AV21" s="252" t="s">
        <v>0</v>
      </c>
      <c r="AW21" s="20"/>
      <c r="AX21" s="20"/>
      <c r="AY21" s="20"/>
      <c r="AZ21" s="373"/>
      <c r="BA21" s="56"/>
      <c r="BB21" s="56"/>
      <c r="BC21" s="93"/>
      <c r="BD21" s="93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50" customFormat="1" ht="18.75" customHeight="1">
      <c r="A22" s="373"/>
      <c r="B22" s="56"/>
      <c r="C22" s="56"/>
      <c r="D22" s="93"/>
      <c r="E22" s="93"/>
      <c r="F22" s="321"/>
      <c r="G22" s="58"/>
      <c r="H22" s="519"/>
      <c r="I22" s="411" t="s">
        <v>295</v>
      </c>
      <c r="J22" s="412"/>
      <c r="K22" s="412"/>
      <c r="L22" s="413"/>
      <c r="M22" s="321"/>
      <c r="N22" s="58"/>
      <c r="O22" s="425"/>
      <c r="P22" s="339" t="s">
        <v>268</v>
      </c>
      <c r="Q22" s="22"/>
      <c r="R22" s="93"/>
      <c r="S22" s="97"/>
      <c r="T22" s="321"/>
      <c r="U22" s="58"/>
      <c r="V22" s="425"/>
      <c r="W22" s="272"/>
      <c r="X22" s="272"/>
      <c r="Y22" s="272"/>
      <c r="Z22" s="272"/>
      <c r="AA22" s="321"/>
      <c r="AB22" s="58"/>
      <c r="AC22" s="468"/>
      <c r="AD22" s="523"/>
      <c r="AE22" s="524"/>
      <c r="AF22" s="524"/>
      <c r="AG22" s="525"/>
      <c r="AH22" s="321"/>
      <c r="AI22" s="240"/>
      <c r="AJ22" s="58"/>
      <c r="AK22" s="20"/>
      <c r="AL22" s="20"/>
      <c r="AM22" s="20"/>
      <c r="AN22" s="20"/>
      <c r="AO22" s="20"/>
      <c r="AP22" s="20"/>
      <c r="AQ22" s="20"/>
      <c r="AR22" s="521"/>
      <c r="AS22" s="266"/>
      <c r="AT22" s="266"/>
      <c r="AU22" s="252"/>
      <c r="AV22" s="255"/>
      <c r="AW22" s="20"/>
      <c r="AX22" s="20"/>
      <c r="AY22" s="20"/>
      <c r="AZ22" s="373"/>
      <c r="BA22" s="274" t="s">
        <v>238</v>
      </c>
      <c r="BB22" s="218">
        <v>133</v>
      </c>
      <c r="BC22" s="218">
        <v>8</v>
      </c>
      <c r="BD22" s="78" t="s">
        <v>48</v>
      </c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50" customFormat="1" ht="18.75" customHeight="1">
      <c r="A23" s="373"/>
      <c r="B23" s="56"/>
      <c r="C23" s="56"/>
      <c r="D23" s="93"/>
      <c r="E23" s="93"/>
      <c r="F23" s="321"/>
      <c r="G23" s="58"/>
      <c r="H23" s="519"/>
      <c r="I23" s="253"/>
      <c r="J23" s="253"/>
      <c r="K23" s="93"/>
      <c r="L23" s="97"/>
      <c r="M23" s="321"/>
      <c r="N23" s="58"/>
      <c r="O23" s="425"/>
      <c r="P23" s="275" t="s">
        <v>197</v>
      </c>
      <c r="Q23" s="253"/>
      <c r="R23" s="93"/>
      <c r="S23" s="97"/>
      <c r="T23" s="321"/>
      <c r="U23" s="58"/>
      <c r="V23" s="425"/>
      <c r="W23" s="272" t="s">
        <v>239</v>
      </c>
      <c r="X23" s="272"/>
      <c r="Y23" s="272"/>
      <c r="Z23" s="272"/>
      <c r="AA23" s="321"/>
      <c r="AB23" s="58"/>
      <c r="AC23" s="468"/>
      <c r="AD23" s="272"/>
      <c r="AE23" s="272"/>
      <c r="AF23" s="252"/>
      <c r="AG23" s="255"/>
      <c r="AH23" s="321"/>
      <c r="AI23" s="240"/>
      <c r="AJ23" s="58"/>
      <c r="AK23" s="20"/>
      <c r="AL23" s="20"/>
      <c r="AM23" s="20"/>
      <c r="AN23" s="20"/>
      <c r="AO23" s="20"/>
      <c r="AP23" s="20"/>
      <c r="AQ23" s="20"/>
      <c r="AR23" s="521"/>
      <c r="AS23" s="523"/>
      <c r="AT23" s="526"/>
      <c r="AU23" s="526"/>
      <c r="AV23" s="525"/>
      <c r="AW23" s="20"/>
      <c r="AX23" s="20"/>
      <c r="AY23" s="20"/>
      <c r="AZ23" s="373"/>
      <c r="BA23" s="56"/>
      <c r="BB23" s="56"/>
      <c r="BC23" s="93"/>
      <c r="BD23" s="93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50" customFormat="1" ht="18.75" customHeight="1" thickBot="1">
      <c r="A24" s="373"/>
      <c r="B24" s="276"/>
      <c r="C24" s="276"/>
      <c r="D24" s="277"/>
      <c r="E24" s="277"/>
      <c r="F24" s="323"/>
      <c r="G24" s="279">
        <f>D24*F24</f>
        <v>0</v>
      </c>
      <c r="H24" s="520"/>
      <c r="I24" s="280"/>
      <c r="J24" s="280"/>
      <c r="K24" s="277"/>
      <c r="L24" s="278"/>
      <c r="M24" s="323"/>
      <c r="N24" s="279">
        <f>K24*M24</f>
        <v>0</v>
      </c>
      <c r="O24" s="425"/>
      <c r="P24" s="280"/>
      <c r="Q24" s="280"/>
      <c r="R24" s="277"/>
      <c r="S24" s="278"/>
      <c r="T24" s="323"/>
      <c r="U24" s="279">
        <f>R24*T24</f>
        <v>0</v>
      </c>
      <c r="V24" s="425"/>
      <c r="W24" s="262"/>
      <c r="X24" s="263"/>
      <c r="Y24" s="253"/>
      <c r="Z24" s="258"/>
      <c r="AA24" s="323"/>
      <c r="AB24" s="279">
        <f>Y24*AA24</f>
        <v>0</v>
      </c>
      <c r="AC24" s="481"/>
      <c r="AD24" s="281"/>
      <c r="AE24" s="281"/>
      <c r="AF24" s="282"/>
      <c r="AG24" s="283"/>
      <c r="AH24" s="323"/>
      <c r="AI24" s="284"/>
      <c r="AJ24" s="58" t="e">
        <f>#REF!*#REF!</f>
        <v>#REF!</v>
      </c>
      <c r="AK24" s="20"/>
      <c r="AL24" s="20"/>
      <c r="AM24" s="20"/>
      <c r="AN24" s="20"/>
      <c r="AO24" s="20"/>
      <c r="AP24" s="20"/>
      <c r="AQ24" s="20"/>
      <c r="AR24" s="521"/>
      <c r="AS24" s="272"/>
      <c r="AT24" s="272"/>
      <c r="AU24" s="252"/>
      <c r="AV24" s="255"/>
      <c r="AW24" s="20"/>
      <c r="AX24" s="20"/>
      <c r="AY24" s="20"/>
      <c r="AZ24" s="373"/>
      <c r="BA24" s="56"/>
      <c r="BB24" s="56"/>
      <c r="BC24" s="93"/>
      <c r="BD24" s="93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40" customFormat="1" ht="18.75" customHeight="1" thickBot="1">
      <c r="A25" s="381" t="s">
        <v>80</v>
      </c>
      <c r="B25" s="101" t="s">
        <v>81</v>
      </c>
      <c r="C25" s="358">
        <v>2</v>
      </c>
      <c r="D25" s="358"/>
      <c r="E25" s="391"/>
      <c r="F25" s="360">
        <f>SUM(G6:G24)</f>
        <v>0</v>
      </c>
      <c r="G25" s="361"/>
      <c r="H25" s="368" t="s">
        <v>80</v>
      </c>
      <c r="I25" s="101" t="s">
        <v>81</v>
      </c>
      <c r="J25" s="358">
        <v>2.2</v>
      </c>
      <c r="K25" s="358"/>
      <c r="L25" s="391"/>
      <c r="M25" s="360">
        <f>SUM(N6:N24)</f>
        <v>0</v>
      </c>
      <c r="N25" s="361"/>
      <c r="O25" s="368" t="s">
        <v>80</v>
      </c>
      <c r="P25" s="101" t="s">
        <v>81</v>
      </c>
      <c r="Q25" s="358">
        <v>2</v>
      </c>
      <c r="R25" s="358"/>
      <c r="S25" s="391"/>
      <c r="T25" s="371">
        <f>SUM(U6:U24)</f>
        <v>0</v>
      </c>
      <c r="U25" s="361"/>
      <c r="V25" s="368" t="s">
        <v>80</v>
      </c>
      <c r="W25" s="101" t="s">
        <v>81</v>
      </c>
      <c r="X25" s="358">
        <v>2.5</v>
      </c>
      <c r="Y25" s="358"/>
      <c r="Z25" s="391"/>
      <c r="AA25" s="360">
        <f>SUM(AB6:AB24)</f>
        <v>0</v>
      </c>
      <c r="AB25" s="361"/>
      <c r="AC25" s="368" t="s">
        <v>80</v>
      </c>
      <c r="AD25" s="101" t="s">
        <v>81</v>
      </c>
      <c r="AE25" s="358">
        <v>2</v>
      </c>
      <c r="AF25" s="358"/>
      <c r="AG25" s="359"/>
      <c r="AH25" s="371">
        <f>SUM(AI6:AI24)</f>
        <v>0</v>
      </c>
      <c r="AI25" s="361"/>
      <c r="AJ25" s="127"/>
      <c r="AK25" s="285">
        <f>(C25+J25+Q25+X25+AE25)/5</f>
        <v>2.1399999999999997</v>
      </c>
      <c r="AL25" s="285">
        <f>(AE25+X25+Q25+J25+C25)/4</f>
        <v>2.675</v>
      </c>
      <c r="AM25" s="221"/>
      <c r="AN25" s="221"/>
      <c r="AO25" s="221"/>
      <c r="AP25" s="221"/>
      <c r="AQ25" s="221"/>
      <c r="AR25" s="522"/>
      <c r="AS25" s="281"/>
      <c r="AT25" s="281"/>
      <c r="AU25" s="282"/>
      <c r="AV25" s="283"/>
      <c r="AW25" s="221"/>
      <c r="AX25" s="221"/>
      <c r="AY25" s="221"/>
      <c r="AZ25" s="373"/>
      <c r="BA25" s="276"/>
      <c r="BB25" s="276"/>
      <c r="BC25" s="277"/>
      <c r="BD25" s="277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1"/>
    </row>
    <row r="26" spans="1:256" s="40" customFormat="1" ht="18.75" customHeight="1">
      <c r="A26" s="382"/>
      <c r="B26" s="103" t="s">
        <v>82</v>
      </c>
      <c r="C26" s="365">
        <v>0.7</v>
      </c>
      <c r="D26" s="365"/>
      <c r="E26" s="366"/>
      <c r="F26" s="104"/>
      <c r="G26" s="105"/>
      <c r="H26" s="369"/>
      <c r="I26" s="103" t="s">
        <v>82</v>
      </c>
      <c r="J26" s="365">
        <v>0.5</v>
      </c>
      <c r="K26" s="365"/>
      <c r="L26" s="366"/>
      <c r="M26" s="106"/>
      <c r="N26" s="105"/>
      <c r="O26" s="369"/>
      <c r="P26" s="103" t="s">
        <v>82</v>
      </c>
      <c r="Q26" s="365">
        <v>0.5</v>
      </c>
      <c r="R26" s="365"/>
      <c r="S26" s="366"/>
      <c r="T26" s="286"/>
      <c r="U26" s="105"/>
      <c r="V26" s="369"/>
      <c r="W26" s="103" t="s">
        <v>82</v>
      </c>
      <c r="X26" s="365">
        <v>0.5</v>
      </c>
      <c r="Y26" s="365"/>
      <c r="Z26" s="366"/>
      <c r="AA26" s="108"/>
      <c r="AB26" s="105"/>
      <c r="AC26" s="369"/>
      <c r="AD26" s="103" t="s">
        <v>82</v>
      </c>
      <c r="AE26" s="365">
        <v>0.5</v>
      </c>
      <c r="AF26" s="365"/>
      <c r="AG26" s="367"/>
      <c r="AH26" s="287"/>
      <c r="AI26" s="288"/>
      <c r="AJ26" s="127"/>
      <c r="AK26" s="285">
        <f aca="true" t="shared" si="3" ref="AK26:AK31">(C26+J26+Q26+X26+AE26)/5</f>
        <v>0.54</v>
      </c>
      <c r="AL26" s="285">
        <f aca="true" t="shared" si="4" ref="AL26:AL31">(AE26+X26+Q26+J26+C26)/4</f>
        <v>0.675</v>
      </c>
      <c r="AM26" s="221"/>
      <c r="AN26" s="221"/>
      <c r="AO26" s="221"/>
      <c r="AP26" s="221"/>
      <c r="AQ26" s="221"/>
      <c r="AR26" s="368" t="s">
        <v>80</v>
      </c>
      <c r="AS26" s="101" t="s">
        <v>81</v>
      </c>
      <c r="AT26" s="358">
        <v>2</v>
      </c>
      <c r="AU26" s="358"/>
      <c r="AV26" s="391"/>
      <c r="AW26" s="221"/>
      <c r="AX26" s="221"/>
      <c r="AY26" s="221"/>
      <c r="AZ26" s="421" t="s">
        <v>80</v>
      </c>
      <c r="BA26" s="101" t="s">
        <v>81</v>
      </c>
      <c r="BB26" s="358">
        <v>2</v>
      </c>
      <c r="BC26" s="358"/>
      <c r="BD26" s="39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  <c r="IS26" s="221"/>
      <c r="IT26" s="221"/>
      <c r="IU26" s="221"/>
      <c r="IV26" s="221"/>
    </row>
    <row r="27" spans="1:256" s="40" customFormat="1" ht="18.75" customHeight="1">
      <c r="A27" s="382"/>
      <c r="B27" s="111" t="s">
        <v>85</v>
      </c>
      <c r="C27" s="365">
        <v>0.2</v>
      </c>
      <c r="D27" s="365"/>
      <c r="E27" s="366"/>
      <c r="F27" s="104"/>
      <c r="G27" s="105"/>
      <c r="H27" s="369"/>
      <c r="I27" s="111" t="s">
        <v>85</v>
      </c>
      <c r="J27" s="365">
        <v>0.6</v>
      </c>
      <c r="K27" s="365"/>
      <c r="L27" s="366"/>
      <c r="M27" s="106"/>
      <c r="N27" s="105"/>
      <c r="O27" s="369"/>
      <c r="P27" s="111" t="s">
        <v>85</v>
      </c>
      <c r="Q27" s="365">
        <v>0.5</v>
      </c>
      <c r="R27" s="365"/>
      <c r="S27" s="366"/>
      <c r="T27" s="286"/>
      <c r="U27" s="105"/>
      <c r="V27" s="369"/>
      <c r="W27" s="111" t="s">
        <v>85</v>
      </c>
      <c r="X27" s="365">
        <v>0.2</v>
      </c>
      <c r="Y27" s="365"/>
      <c r="Z27" s="366"/>
      <c r="AA27" s="108"/>
      <c r="AB27" s="105"/>
      <c r="AC27" s="369"/>
      <c r="AD27" s="111" t="s">
        <v>85</v>
      </c>
      <c r="AE27" s="365">
        <v>0.6</v>
      </c>
      <c r="AF27" s="365"/>
      <c r="AG27" s="367"/>
      <c r="AH27" s="287"/>
      <c r="AI27" s="288"/>
      <c r="AJ27" s="127"/>
      <c r="AK27" s="285">
        <f t="shared" si="3"/>
        <v>0.42000000000000004</v>
      </c>
      <c r="AL27" s="285">
        <f t="shared" si="4"/>
        <v>0.525</v>
      </c>
      <c r="AM27" s="221"/>
      <c r="AN27" s="221"/>
      <c r="AO27" s="221"/>
      <c r="AP27" s="221"/>
      <c r="AQ27" s="221"/>
      <c r="AR27" s="369"/>
      <c r="AS27" s="103" t="s">
        <v>82</v>
      </c>
      <c r="AT27" s="365">
        <v>0.5</v>
      </c>
      <c r="AU27" s="365"/>
      <c r="AV27" s="366"/>
      <c r="AW27" s="221"/>
      <c r="AX27" s="221"/>
      <c r="AY27" s="221"/>
      <c r="AZ27" s="422"/>
      <c r="BA27" s="103" t="s">
        <v>82</v>
      </c>
      <c r="BB27" s="365">
        <v>0.3</v>
      </c>
      <c r="BC27" s="365"/>
      <c r="BD27" s="366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256" s="40" customFormat="1" ht="18.75" customHeight="1">
      <c r="A28" s="382"/>
      <c r="B28" s="112" t="s">
        <v>83</v>
      </c>
      <c r="C28" s="365">
        <v>0.5</v>
      </c>
      <c r="D28" s="365"/>
      <c r="E28" s="366"/>
      <c r="F28" s="104"/>
      <c r="G28" s="105"/>
      <c r="H28" s="369"/>
      <c r="I28" s="112" t="s">
        <v>83</v>
      </c>
      <c r="J28" s="365">
        <v>0.5</v>
      </c>
      <c r="K28" s="365"/>
      <c r="L28" s="366"/>
      <c r="M28" s="106"/>
      <c r="N28" s="105"/>
      <c r="O28" s="369"/>
      <c r="P28" s="112" t="s">
        <v>83</v>
      </c>
      <c r="Q28" s="365">
        <v>0.5</v>
      </c>
      <c r="R28" s="365"/>
      <c r="S28" s="366"/>
      <c r="T28" s="286"/>
      <c r="U28" s="105"/>
      <c r="V28" s="369"/>
      <c r="W28" s="112" t="s">
        <v>84</v>
      </c>
      <c r="X28" s="365">
        <v>0.5</v>
      </c>
      <c r="Y28" s="365"/>
      <c r="Z28" s="366"/>
      <c r="AA28" s="108"/>
      <c r="AB28" s="105"/>
      <c r="AC28" s="369"/>
      <c r="AD28" s="112" t="s">
        <v>83</v>
      </c>
      <c r="AE28" s="365">
        <v>0.5</v>
      </c>
      <c r="AF28" s="365"/>
      <c r="AG28" s="367"/>
      <c r="AH28" s="287"/>
      <c r="AI28" s="288"/>
      <c r="AJ28" s="127"/>
      <c r="AK28" s="285">
        <f t="shared" si="3"/>
        <v>0.5</v>
      </c>
      <c r="AL28" s="285">
        <f t="shared" si="4"/>
        <v>0.625</v>
      </c>
      <c r="AM28" s="221"/>
      <c r="AN28" s="221"/>
      <c r="AO28" s="221"/>
      <c r="AP28" s="221"/>
      <c r="AQ28" s="221"/>
      <c r="AR28" s="369"/>
      <c r="AS28" s="111" t="s">
        <v>85</v>
      </c>
      <c r="AT28" s="365">
        <v>0.6</v>
      </c>
      <c r="AU28" s="365"/>
      <c r="AV28" s="366"/>
      <c r="AW28" s="221"/>
      <c r="AX28" s="221"/>
      <c r="AY28" s="221"/>
      <c r="AZ28" s="422"/>
      <c r="BA28" s="111" t="s">
        <v>85</v>
      </c>
      <c r="BB28" s="365">
        <v>0.5</v>
      </c>
      <c r="BC28" s="365"/>
      <c r="BD28" s="366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  <c r="IB28" s="221"/>
      <c r="IC28" s="221"/>
      <c r="ID28" s="221"/>
      <c r="IE28" s="221"/>
      <c r="IF28" s="221"/>
      <c r="IG28" s="221"/>
      <c r="IH28" s="221"/>
      <c r="II28" s="221"/>
      <c r="IJ28" s="221"/>
      <c r="IK28" s="221"/>
      <c r="IL28" s="221"/>
      <c r="IM28" s="221"/>
      <c r="IN28" s="221"/>
      <c r="IO28" s="221"/>
      <c r="IP28" s="221"/>
      <c r="IQ28" s="221"/>
      <c r="IR28" s="221"/>
      <c r="IS28" s="221"/>
      <c r="IT28" s="221"/>
      <c r="IU28" s="221"/>
      <c r="IV28" s="221"/>
    </row>
    <row r="29" spans="1:256" s="40" customFormat="1" ht="18.75" customHeight="1">
      <c r="A29" s="382"/>
      <c r="B29" s="103" t="s">
        <v>86</v>
      </c>
      <c r="C29" s="365">
        <v>1</v>
      </c>
      <c r="D29" s="365"/>
      <c r="E29" s="366"/>
      <c r="F29" s="104"/>
      <c r="G29" s="105"/>
      <c r="H29" s="369"/>
      <c r="I29" s="103" t="s">
        <v>86</v>
      </c>
      <c r="J29" s="365">
        <v>0</v>
      </c>
      <c r="K29" s="365"/>
      <c r="L29" s="366"/>
      <c r="M29" s="106"/>
      <c r="N29" s="105"/>
      <c r="O29" s="369"/>
      <c r="P29" s="103" t="s">
        <v>86</v>
      </c>
      <c r="Q29" s="365">
        <v>1</v>
      </c>
      <c r="R29" s="365"/>
      <c r="S29" s="366"/>
      <c r="T29" s="286"/>
      <c r="U29" s="105"/>
      <c r="V29" s="369"/>
      <c r="W29" s="103" t="s">
        <v>86</v>
      </c>
      <c r="X29" s="365">
        <v>1</v>
      </c>
      <c r="Y29" s="365"/>
      <c r="Z29" s="366"/>
      <c r="AA29" s="108"/>
      <c r="AB29" s="105"/>
      <c r="AC29" s="369"/>
      <c r="AD29" s="103" t="s">
        <v>86</v>
      </c>
      <c r="AE29" s="365">
        <v>0.5</v>
      </c>
      <c r="AF29" s="365"/>
      <c r="AG29" s="367"/>
      <c r="AH29" s="287"/>
      <c r="AI29" s="288"/>
      <c r="AJ29" s="127"/>
      <c r="AK29" s="285">
        <f t="shared" si="3"/>
        <v>0.7</v>
      </c>
      <c r="AL29" s="285">
        <f t="shared" si="4"/>
        <v>0.875</v>
      </c>
      <c r="AM29" s="221"/>
      <c r="AN29" s="221"/>
      <c r="AO29" s="221"/>
      <c r="AP29" s="221"/>
      <c r="AQ29" s="221"/>
      <c r="AR29" s="369"/>
      <c r="AS29" s="112" t="s">
        <v>83</v>
      </c>
      <c r="AT29" s="365">
        <v>0.5</v>
      </c>
      <c r="AU29" s="365"/>
      <c r="AV29" s="366"/>
      <c r="AW29" s="221"/>
      <c r="AX29" s="221"/>
      <c r="AY29" s="221"/>
      <c r="AZ29" s="422"/>
      <c r="BA29" s="112" t="s">
        <v>83</v>
      </c>
      <c r="BB29" s="365">
        <v>0.5</v>
      </c>
      <c r="BC29" s="365"/>
      <c r="BD29" s="366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1"/>
    </row>
    <row r="30" spans="1:256" s="40" customFormat="1" ht="18.75" customHeight="1">
      <c r="A30" s="382"/>
      <c r="B30" s="103" t="s">
        <v>87</v>
      </c>
      <c r="C30" s="365">
        <v>0.6</v>
      </c>
      <c r="D30" s="365"/>
      <c r="E30" s="366"/>
      <c r="F30" s="104"/>
      <c r="G30" s="105"/>
      <c r="H30" s="369"/>
      <c r="I30" s="103" t="s">
        <v>87</v>
      </c>
      <c r="J30" s="365">
        <v>0.4</v>
      </c>
      <c r="K30" s="365"/>
      <c r="L30" s="366"/>
      <c r="M30" s="113"/>
      <c r="N30" s="105"/>
      <c r="O30" s="369"/>
      <c r="P30" s="103" t="s">
        <v>87</v>
      </c>
      <c r="Q30" s="365">
        <v>0.6</v>
      </c>
      <c r="R30" s="365"/>
      <c r="S30" s="366"/>
      <c r="T30" s="286"/>
      <c r="U30" s="105"/>
      <c r="V30" s="369"/>
      <c r="W30" s="103" t="s">
        <v>87</v>
      </c>
      <c r="X30" s="365">
        <v>0.3</v>
      </c>
      <c r="Y30" s="365"/>
      <c r="Z30" s="366"/>
      <c r="AA30" s="108"/>
      <c r="AB30" s="105"/>
      <c r="AC30" s="369"/>
      <c r="AD30" s="103" t="s">
        <v>87</v>
      </c>
      <c r="AE30" s="365">
        <v>0.5</v>
      </c>
      <c r="AF30" s="365"/>
      <c r="AG30" s="367"/>
      <c r="AH30" s="287"/>
      <c r="AI30" s="288"/>
      <c r="AJ30" s="127"/>
      <c r="AK30" s="285">
        <f t="shared" si="3"/>
        <v>0.4800000000000001</v>
      </c>
      <c r="AL30" s="285">
        <f t="shared" si="4"/>
        <v>0.6</v>
      </c>
      <c r="AM30" s="221"/>
      <c r="AN30" s="221"/>
      <c r="AO30" s="221"/>
      <c r="AP30" s="221"/>
      <c r="AQ30" s="221"/>
      <c r="AR30" s="369"/>
      <c r="AS30" s="103" t="s">
        <v>86</v>
      </c>
      <c r="AT30" s="365">
        <v>0.5</v>
      </c>
      <c r="AU30" s="365"/>
      <c r="AV30" s="366"/>
      <c r="AW30" s="221"/>
      <c r="AX30" s="221"/>
      <c r="AY30" s="221"/>
      <c r="AZ30" s="422"/>
      <c r="BA30" s="103" t="s">
        <v>86</v>
      </c>
      <c r="BB30" s="365">
        <v>1</v>
      </c>
      <c r="BC30" s="365"/>
      <c r="BD30" s="366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  <c r="IB30" s="221"/>
      <c r="IC30" s="221"/>
      <c r="ID30" s="221"/>
      <c r="IE30" s="221"/>
      <c r="IF30" s="221"/>
      <c r="IG30" s="221"/>
      <c r="IH30" s="221"/>
      <c r="II30" s="221"/>
      <c r="IJ30" s="221"/>
      <c r="IK30" s="221"/>
      <c r="IL30" s="221"/>
      <c r="IM30" s="221"/>
      <c r="IN30" s="221"/>
      <c r="IO30" s="221"/>
      <c r="IP30" s="221"/>
      <c r="IQ30" s="221"/>
      <c r="IR30" s="221"/>
      <c r="IS30" s="221"/>
      <c r="IT30" s="221"/>
      <c r="IU30" s="221"/>
      <c r="IV30" s="221"/>
    </row>
    <row r="31" spans="1:256" s="40" customFormat="1" ht="18.75" customHeight="1" thickBot="1">
      <c r="A31" s="383"/>
      <c r="B31" s="114" t="s">
        <v>88</v>
      </c>
      <c r="C31" s="379">
        <f>C25*70+C26*75+C27*25+C28*45+C30*120+C29*60</f>
        <v>352</v>
      </c>
      <c r="D31" s="379"/>
      <c r="E31" s="380"/>
      <c r="F31" s="115"/>
      <c r="G31" s="116"/>
      <c r="H31" s="370"/>
      <c r="I31" s="114" t="s">
        <v>88</v>
      </c>
      <c r="J31" s="379">
        <f>J25*70+J26*75+J27*25+J28*45+J30*120+J29*60</f>
        <v>277</v>
      </c>
      <c r="K31" s="379"/>
      <c r="L31" s="380"/>
      <c r="M31" s="117"/>
      <c r="N31" s="116"/>
      <c r="O31" s="370"/>
      <c r="P31" s="114" t="s">
        <v>88</v>
      </c>
      <c r="Q31" s="379">
        <f>Q25*70+Q26*75+Q27*25+Q28*45+Q30*120+Q29*60</f>
        <v>344.5</v>
      </c>
      <c r="R31" s="379"/>
      <c r="S31" s="380"/>
      <c r="T31" s="289"/>
      <c r="U31" s="116"/>
      <c r="V31" s="370"/>
      <c r="W31" s="114" t="s">
        <v>88</v>
      </c>
      <c r="X31" s="379">
        <f>X25*70+X26*75+X27*25+X28*45+X30*120+X29*60</f>
        <v>336</v>
      </c>
      <c r="Y31" s="379"/>
      <c r="Z31" s="380"/>
      <c r="AA31" s="119"/>
      <c r="AB31" s="116"/>
      <c r="AC31" s="370"/>
      <c r="AD31" s="114" t="s">
        <v>88</v>
      </c>
      <c r="AE31" s="379">
        <f>AE25*70+AE26*75+AE27*25+AE28*45+AE30*120+AE29*60</f>
        <v>305</v>
      </c>
      <c r="AF31" s="379"/>
      <c r="AG31" s="384"/>
      <c r="AH31" s="290"/>
      <c r="AI31" s="291"/>
      <c r="AJ31" s="127"/>
      <c r="AK31" s="285">
        <f t="shared" si="3"/>
        <v>322.9</v>
      </c>
      <c r="AL31" s="285">
        <f t="shared" si="4"/>
        <v>403.625</v>
      </c>
      <c r="AM31" s="221"/>
      <c r="AN31" s="221"/>
      <c r="AO31" s="221"/>
      <c r="AP31" s="221"/>
      <c r="AQ31" s="221"/>
      <c r="AR31" s="369"/>
      <c r="AS31" s="103" t="s">
        <v>87</v>
      </c>
      <c r="AT31" s="365">
        <v>0.5</v>
      </c>
      <c r="AU31" s="365"/>
      <c r="AV31" s="366"/>
      <c r="AW31" s="221"/>
      <c r="AX31" s="221"/>
      <c r="AY31" s="221"/>
      <c r="AZ31" s="422"/>
      <c r="BA31" s="103" t="s">
        <v>87</v>
      </c>
      <c r="BB31" s="365">
        <v>0.6</v>
      </c>
      <c r="BC31" s="365"/>
      <c r="BD31" s="366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1"/>
      <c r="GU31" s="221"/>
      <c r="GV31" s="221"/>
      <c r="GW31" s="221"/>
      <c r="GX31" s="221"/>
      <c r="GY31" s="221"/>
      <c r="GZ31" s="221"/>
      <c r="HA31" s="221"/>
      <c r="HB31" s="221"/>
      <c r="HC31" s="221"/>
      <c r="HD31" s="221"/>
      <c r="HE31" s="221"/>
      <c r="HF31" s="221"/>
      <c r="HG31" s="221"/>
      <c r="HH31" s="221"/>
      <c r="HI31" s="221"/>
      <c r="HJ31" s="221"/>
      <c r="HK31" s="221"/>
      <c r="HL31" s="221"/>
      <c r="HM31" s="221"/>
      <c r="HN31" s="221"/>
      <c r="HO31" s="221"/>
      <c r="HP31" s="221"/>
      <c r="HQ31" s="221"/>
      <c r="HR31" s="221"/>
      <c r="HS31" s="221"/>
      <c r="HT31" s="221"/>
      <c r="HU31" s="221"/>
      <c r="HV31" s="221"/>
      <c r="HW31" s="221"/>
      <c r="HX31" s="221"/>
      <c r="HY31" s="221"/>
      <c r="HZ31" s="221"/>
      <c r="IA31" s="221"/>
      <c r="IB31" s="221"/>
      <c r="IC31" s="221"/>
      <c r="ID31" s="221"/>
      <c r="IE31" s="221"/>
      <c r="IF31" s="221"/>
      <c r="IG31" s="221"/>
      <c r="IH31" s="221"/>
      <c r="II31" s="221"/>
      <c r="IJ31" s="221"/>
      <c r="IK31" s="221"/>
      <c r="IL31" s="221"/>
      <c r="IM31" s="221"/>
      <c r="IN31" s="221"/>
      <c r="IO31" s="221"/>
      <c r="IP31" s="221"/>
      <c r="IQ31" s="221"/>
      <c r="IR31" s="221"/>
      <c r="IS31" s="221"/>
      <c r="IT31" s="221"/>
      <c r="IU31" s="221"/>
      <c r="IV31" s="221"/>
    </row>
    <row r="32" spans="1:256" s="50" customFormat="1" ht="18.75" customHeight="1" thickBot="1">
      <c r="A32" s="292"/>
      <c r="B32" s="20"/>
      <c r="C32" s="20"/>
      <c r="D32" s="293"/>
      <c r="E32" s="293"/>
      <c r="F32" s="294"/>
      <c r="G32" s="20"/>
      <c r="H32" s="295"/>
      <c r="I32" s="20"/>
      <c r="J32" s="20"/>
      <c r="K32" s="293"/>
      <c r="L32" s="293"/>
      <c r="M32" s="294"/>
      <c r="N32" s="20"/>
      <c r="O32" s="296"/>
      <c r="P32" s="292"/>
      <c r="Q32" s="292"/>
      <c r="R32" s="297"/>
      <c r="S32" s="297"/>
      <c r="T32" s="294"/>
      <c r="U32" s="20"/>
      <c r="V32" s="295"/>
      <c r="W32" s="292"/>
      <c r="X32" s="292"/>
      <c r="Y32" s="297"/>
      <c r="Z32" s="297"/>
      <c r="AA32" s="294"/>
      <c r="AB32" s="20"/>
      <c r="AC32" s="292"/>
      <c r="AD32" s="20"/>
      <c r="AE32" s="20"/>
      <c r="AF32" s="293"/>
      <c r="AG32" s="293"/>
      <c r="AH32" s="294"/>
      <c r="AI32" s="20"/>
      <c r="AJ32" s="20"/>
      <c r="AK32" s="20"/>
      <c r="AL32" s="20"/>
      <c r="AM32" s="20"/>
      <c r="AN32" s="20"/>
      <c r="AO32" s="20"/>
      <c r="AP32" s="20"/>
      <c r="AQ32" s="20"/>
      <c r="AR32" s="370"/>
      <c r="AS32" s="114" t="s">
        <v>88</v>
      </c>
      <c r="AT32" s="379">
        <f>AT26*70+AT27*75+AT28*25+AT29*45+AT31*120+AT30*60</f>
        <v>305</v>
      </c>
      <c r="AU32" s="379"/>
      <c r="AV32" s="380"/>
      <c r="AW32" s="20"/>
      <c r="AX32" s="20"/>
      <c r="AY32" s="20"/>
      <c r="AZ32" s="423"/>
      <c r="BA32" s="114" t="s">
        <v>88</v>
      </c>
      <c r="BB32" s="379">
        <f>BB26*70+BB27*75+BB28*25+BB29*45+BB31*120+BB30*60</f>
        <v>329.5</v>
      </c>
      <c r="BC32" s="379"/>
      <c r="BD32" s="38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50" customFormat="1" ht="19.5" customHeight="1">
      <c r="A33" s="516" t="s">
        <v>51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298"/>
      <c r="AJ33" s="299"/>
      <c r="AK33" s="300"/>
      <c r="AL33" s="300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50" customFormat="1" ht="22.5" customHeight="1">
      <c r="A34" s="517" t="s">
        <v>60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298"/>
      <c r="AJ34" s="299"/>
      <c r="AK34" s="300"/>
      <c r="AL34" s="300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</sheetData>
  <sheetProtection/>
  <mergeCells count="109">
    <mergeCell ref="BB32:BD32"/>
    <mergeCell ref="I22:L22"/>
    <mergeCell ref="AZ7:AZ16"/>
    <mergeCell ref="AZ17:BD17"/>
    <mergeCell ref="AZ18:AZ25"/>
    <mergeCell ref="AZ26:AZ32"/>
    <mergeCell ref="BB26:BD26"/>
    <mergeCell ref="BB27:BD27"/>
    <mergeCell ref="BB28:BD28"/>
    <mergeCell ref="BB29:BD29"/>
    <mergeCell ref="BB30:BD30"/>
    <mergeCell ref="BB31:BD31"/>
    <mergeCell ref="P1:AD1"/>
    <mergeCell ref="A2:A4"/>
    <mergeCell ref="B2:E2"/>
    <mergeCell ref="H2:H4"/>
    <mergeCell ref="I2:L2"/>
    <mergeCell ref="O2:O4"/>
    <mergeCell ref="P2:S2"/>
    <mergeCell ref="V2:V4"/>
    <mergeCell ref="W2:Z2"/>
    <mergeCell ref="AC2:AC4"/>
    <mergeCell ref="AD2:AG2"/>
    <mergeCell ref="B4:E4"/>
    <mergeCell ref="I4:L4"/>
    <mergeCell ref="P4:S4"/>
    <mergeCell ref="W4:Z4"/>
    <mergeCell ref="AD4:AG4"/>
    <mergeCell ref="A5:E5"/>
    <mergeCell ref="H5:L5"/>
    <mergeCell ref="O5:S5"/>
    <mergeCell ref="V5:Z5"/>
    <mergeCell ref="AC5:AG5"/>
    <mergeCell ref="A6:A15"/>
    <mergeCell ref="H6:H15"/>
    <mergeCell ref="O6:O15"/>
    <mergeCell ref="V6:V15"/>
    <mergeCell ref="AC6:AC15"/>
    <mergeCell ref="AR7:AR16"/>
    <mergeCell ref="A16:E16"/>
    <mergeCell ref="H16:L16"/>
    <mergeCell ref="O16:S16"/>
    <mergeCell ref="V16:Z16"/>
    <mergeCell ref="AC16:AG16"/>
    <mergeCell ref="A17:A24"/>
    <mergeCell ref="H17:H24"/>
    <mergeCell ref="O17:O24"/>
    <mergeCell ref="V17:V24"/>
    <mergeCell ref="AC17:AC24"/>
    <mergeCell ref="AR17:AV17"/>
    <mergeCell ref="AR18:AR25"/>
    <mergeCell ref="AD22:AG22"/>
    <mergeCell ref="AS23:AV23"/>
    <mergeCell ref="A25:A31"/>
    <mergeCell ref="C25:E25"/>
    <mergeCell ref="F25:G25"/>
    <mergeCell ref="H25:H31"/>
    <mergeCell ref="J25:L25"/>
    <mergeCell ref="M25:N25"/>
    <mergeCell ref="O25:O31"/>
    <mergeCell ref="C30:E30"/>
    <mergeCell ref="J30:L30"/>
    <mergeCell ref="C28:E28"/>
    <mergeCell ref="J28:L28"/>
    <mergeCell ref="T25:U25"/>
    <mergeCell ref="V25:V31"/>
    <mergeCell ref="X25:Z25"/>
    <mergeCell ref="AA25:AB25"/>
    <mergeCell ref="AC25:AC31"/>
    <mergeCell ref="Q28:S28"/>
    <mergeCell ref="X28:Z28"/>
    <mergeCell ref="Q30:S30"/>
    <mergeCell ref="X30:Z30"/>
    <mergeCell ref="AE31:AG31"/>
    <mergeCell ref="AT31:AV31"/>
    <mergeCell ref="AE25:AG25"/>
    <mergeCell ref="AH25:AI25"/>
    <mergeCell ref="C26:E26"/>
    <mergeCell ref="J26:L26"/>
    <mergeCell ref="Q26:S26"/>
    <mergeCell ref="X26:Z26"/>
    <mergeCell ref="AE26:AG26"/>
    <mergeCell ref="Q25:S25"/>
    <mergeCell ref="C27:E27"/>
    <mergeCell ref="J27:L27"/>
    <mergeCell ref="Q27:S27"/>
    <mergeCell ref="X27:Z27"/>
    <mergeCell ref="AE27:AG27"/>
    <mergeCell ref="AT27:AV27"/>
    <mergeCell ref="AE28:AG28"/>
    <mergeCell ref="AT28:AV28"/>
    <mergeCell ref="C29:E29"/>
    <mergeCell ref="J29:L29"/>
    <mergeCell ref="Q29:S29"/>
    <mergeCell ref="X29:Z29"/>
    <mergeCell ref="AE29:AG29"/>
    <mergeCell ref="AT29:AV29"/>
    <mergeCell ref="AR26:AR32"/>
    <mergeCell ref="AT26:AV26"/>
    <mergeCell ref="A1:N1"/>
    <mergeCell ref="AT32:AV32"/>
    <mergeCell ref="A33:AH33"/>
    <mergeCell ref="A34:AH34"/>
    <mergeCell ref="AE30:AG30"/>
    <mergeCell ref="AT30:AV30"/>
    <mergeCell ref="C31:E31"/>
    <mergeCell ref="J31:L31"/>
    <mergeCell ref="Q31:S31"/>
    <mergeCell ref="X31:Z3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36" zoomScaleSheetLayoutView="136" zoomScalePageLayoutView="0" workbookViewId="0" topLeftCell="A1">
      <selection activeCell="A18" sqref="A18:F18"/>
    </sheetView>
  </sheetViews>
  <sheetFormatPr defaultColWidth="9.00390625" defaultRowHeight="16.5"/>
  <cols>
    <col min="1" max="1" width="4.75390625" style="21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547" t="s">
        <v>265</v>
      </c>
      <c r="B1" s="547"/>
      <c r="C1" s="547"/>
      <c r="D1" s="547"/>
      <c r="E1" s="547"/>
      <c r="F1" s="547"/>
    </row>
    <row r="2" spans="1:6" s="4" customFormat="1" ht="18" customHeight="1">
      <c r="A2" s="15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6" t="s">
        <v>11</v>
      </c>
      <c r="B3" s="5">
        <v>1</v>
      </c>
      <c r="C3" s="5">
        <f>B3+1</f>
        <v>2</v>
      </c>
      <c r="D3" s="5">
        <f>C3+1</f>
        <v>3</v>
      </c>
      <c r="E3" s="5">
        <f>D3+1</f>
        <v>4</v>
      </c>
      <c r="F3" s="6">
        <f>E3+1</f>
        <v>5</v>
      </c>
    </row>
    <row r="4" spans="1:6" s="9" customFormat="1" ht="42" customHeight="1">
      <c r="A4" s="17" t="s">
        <v>3</v>
      </c>
      <c r="B4" s="7" t="str">
        <f>'第一周'!A6</f>
        <v>饅頭夾蔥蛋  /  豆漿鮮奶</v>
      </c>
      <c r="C4" s="7" t="str">
        <f>'第一周'!H6</f>
        <v>餛飩麵</v>
      </c>
      <c r="D4" s="7" t="str">
        <f>'第一周'!O6</f>
        <v>炒年糕</v>
      </c>
      <c r="E4" s="7" t="str">
        <f>'第一周'!V6</f>
        <v>吐司夾鮪魚蛋   </v>
      </c>
      <c r="F4" s="8" t="str">
        <f>'第一周'!AC6</f>
        <v>瓠瓜鮮菇粥</v>
      </c>
    </row>
    <row r="5" spans="1:6" s="9" customFormat="1" ht="42" customHeight="1">
      <c r="A5" s="18" t="s">
        <v>10</v>
      </c>
      <c r="B5" s="10" t="str">
        <f>'第一周'!A17</f>
        <v>南瓜濃湯</v>
      </c>
      <c r="C5" s="10" t="str">
        <f>'第一周'!H17</f>
        <v>水果拼盤  / 鮮奶</v>
      </c>
      <c r="D5" s="10" t="str">
        <f>'第一周'!O17</f>
        <v>芋頭西米露 / 水果</v>
      </c>
      <c r="E5" s="10" t="str">
        <f>'第一周'!V17</f>
        <v>水果牛奶麥片</v>
      </c>
      <c r="F5" s="11" t="str">
        <f>'第一周'!AC17</f>
        <v>水果拼盤  / 鮮奶</v>
      </c>
    </row>
    <row r="6" spans="1:6" s="9" customFormat="1" ht="18" customHeight="1">
      <c r="A6" s="16" t="s">
        <v>11</v>
      </c>
      <c r="B6" s="12">
        <f>B3+7</f>
        <v>8</v>
      </c>
      <c r="C6" s="12">
        <f>B6+1</f>
        <v>9</v>
      </c>
      <c r="D6" s="12">
        <f>C6+1</f>
        <v>10</v>
      </c>
      <c r="E6" s="12">
        <f>D6+1</f>
        <v>11</v>
      </c>
      <c r="F6" s="13">
        <f>E6+1</f>
        <v>12</v>
      </c>
    </row>
    <row r="7" spans="1:6" s="9" customFormat="1" ht="51" customHeight="1">
      <c r="A7" s="17" t="s">
        <v>3</v>
      </c>
      <c r="B7" s="7" t="str">
        <f>'第二週'!A6</f>
        <v>餡餅 / 香蕉鮮奶</v>
      </c>
      <c r="C7" s="7" t="str">
        <f>'第二週'!H6</f>
        <v>肉醬義大利麵</v>
      </c>
      <c r="D7" s="7" t="str">
        <f>'第二週'!O6</f>
        <v>鮭魚蛋炒飯</v>
      </c>
      <c r="E7" s="7" t="str">
        <f>'第二週'!V6</f>
        <v>什錦炒米粉</v>
      </c>
      <c r="F7" s="8" t="str">
        <f>'第二週'!AC6</f>
        <v>蘿蔔糕炒蛋  /  豆漿鮮奶</v>
      </c>
    </row>
    <row r="8" spans="1:6" s="9" customFormat="1" ht="51" customHeight="1">
      <c r="A8" s="18" t="s">
        <v>10</v>
      </c>
      <c r="B8" s="10" t="str">
        <f>'第二週'!A17</f>
        <v>苦茶油赤肉麵線</v>
      </c>
      <c r="C8" s="10" t="str">
        <f>'第二週'!H17</f>
        <v>水果拼盤  /  鮮奶</v>
      </c>
      <c r="D8" s="10" t="str">
        <f>'第二週'!O17</f>
        <v>桂圓銀耳奶  /  水果</v>
      </c>
      <c r="E8" s="10" t="str">
        <f>'第二週'!V17</f>
        <v>水果拼盤  / 鮮奶</v>
      </c>
      <c r="F8" s="11" t="str">
        <f>'第二週'!AC17</f>
        <v>自製水果凍</v>
      </c>
    </row>
    <row r="9" spans="1:6" s="9" customFormat="1" ht="18" customHeight="1">
      <c r="A9" s="16" t="s">
        <v>11</v>
      </c>
      <c r="B9" s="12">
        <f>B6+7</f>
        <v>15</v>
      </c>
      <c r="C9" s="12">
        <f>B9+1</f>
        <v>16</v>
      </c>
      <c r="D9" s="12">
        <f>C9+1</f>
        <v>17</v>
      </c>
      <c r="E9" s="12">
        <f>D9+1</f>
        <v>18</v>
      </c>
      <c r="F9" s="13">
        <f>E9+1</f>
        <v>19</v>
      </c>
    </row>
    <row r="10" spans="1:6" s="9" customFormat="1" ht="51" customHeight="1">
      <c r="A10" s="17" t="s">
        <v>3</v>
      </c>
      <c r="B10" s="7" t="str">
        <f>'第三周 '!A6</f>
        <v> 水煎包 / 水果 / 牛奶</v>
      </c>
      <c r="C10" s="7" t="str">
        <f>'第三周 '!H6</f>
        <v>起司玉米蛋餅 / 鮮奶米漿</v>
      </c>
      <c r="D10" s="7" t="str">
        <f>'第三周 '!O6</f>
        <v>校外教學-西點</v>
      </c>
      <c r="E10" s="7" t="str">
        <f>'第三周 '!V6</f>
        <v>肉片蛋拌麵線 / 米漿鮮奶</v>
      </c>
      <c r="F10" s="8" t="str">
        <f>'第三周 '!AC6</f>
        <v>中卷米粉</v>
      </c>
    </row>
    <row r="11" spans="1:6" s="9" customFormat="1" ht="51" customHeight="1">
      <c r="A11" s="18" t="s">
        <v>10</v>
      </c>
      <c r="B11" s="10" t="str">
        <f>'第三周 '!A17</f>
        <v>香菇雞麵 </v>
      </c>
      <c r="C11" s="10" t="str">
        <f>'第三周 '!H17</f>
        <v>蘑菇濃湯</v>
      </c>
      <c r="D11" s="10" t="str">
        <f>'第三周 '!O17</f>
        <v>校外教學-西點</v>
      </c>
      <c r="E11" s="10" t="str">
        <f>'第三周 '!V17</f>
        <v>銀魚莧菜羹 / 水果</v>
      </c>
      <c r="F11" s="11" t="str">
        <f>'第三周 '!AC17</f>
        <v>水果拼盤  /  鮮奶</v>
      </c>
    </row>
    <row r="12" spans="1:6" s="9" customFormat="1" ht="18" customHeight="1">
      <c r="A12" s="16" t="s">
        <v>11</v>
      </c>
      <c r="B12" s="12">
        <f>B9+7</f>
        <v>22</v>
      </c>
      <c r="C12" s="12">
        <f>B12+1</f>
        <v>23</v>
      </c>
      <c r="D12" s="12">
        <f>C12+1</f>
        <v>24</v>
      </c>
      <c r="E12" s="12">
        <f>D12+1</f>
        <v>25</v>
      </c>
      <c r="F12" s="13">
        <f>E12+1</f>
        <v>26</v>
      </c>
    </row>
    <row r="13" spans="1:6" s="9" customFormat="1" ht="51" customHeight="1">
      <c r="A13" s="17" t="s">
        <v>3</v>
      </c>
      <c r="B13" s="7" t="str">
        <f>'第四周'!A6</f>
        <v>煎餃 / 優酪乳</v>
      </c>
      <c r="C13" s="7" t="str">
        <f>'第四周'!H6</f>
        <v>木須炒麵疙瘩</v>
      </c>
      <c r="D13" s="7" t="str">
        <f>'第四周'!O6</f>
        <v>蛤蠣雞湯麵</v>
      </c>
      <c r="E13" s="7" t="str">
        <f>'第四周'!V6</f>
        <v>肉絲蛋炒飯</v>
      </c>
      <c r="F13" s="8" t="str">
        <f>'第四周'!AC6</f>
        <v>起司肉末粥 </v>
      </c>
    </row>
    <row r="14" spans="1:6" s="9" customFormat="1" ht="51" customHeight="1">
      <c r="A14" s="18" t="s">
        <v>10</v>
      </c>
      <c r="B14" s="10" t="str">
        <f>'第四周'!A17</f>
        <v>八寶甜湯</v>
      </c>
      <c r="C14" s="10" t="str">
        <f>'第四周'!H17</f>
        <v>水果拼盤  / 鮮奶</v>
      </c>
      <c r="D14" s="10" t="str">
        <f>'第四周'!O17</f>
        <v>玉米濃湯  /  水果</v>
      </c>
      <c r="E14" s="10" t="str">
        <f>'第四周'!V17</f>
        <v>水果拼盤  /  鮮奶</v>
      </c>
      <c r="F14" s="11" t="str">
        <f>'第四周'!AC17</f>
        <v>自製水果奶酪</v>
      </c>
    </row>
    <row r="15" spans="1:6" s="9" customFormat="1" ht="18" customHeight="1">
      <c r="A15" s="188" t="s">
        <v>11</v>
      </c>
      <c r="B15" s="189">
        <f>B12+7</f>
        <v>29</v>
      </c>
      <c r="C15" s="189">
        <f>B15+1</f>
        <v>30</v>
      </c>
      <c r="D15" s="189">
        <f>C15+1</f>
        <v>31</v>
      </c>
      <c r="E15" s="189">
        <v>1</v>
      </c>
      <c r="F15" s="190">
        <f>E15+1</f>
        <v>2</v>
      </c>
    </row>
    <row r="16" spans="1:6" s="9" customFormat="1" ht="51" customHeight="1">
      <c r="A16" s="17" t="s">
        <v>3</v>
      </c>
      <c r="B16" s="7" t="str">
        <f>'第五周'!A6</f>
        <v>刈包夾蔬菜鮪魚蛋</v>
      </c>
      <c r="C16" s="7" t="str">
        <f>'第五周'!H6</f>
        <v>什錦炒米苔目</v>
      </c>
      <c r="D16" s="7" t="str">
        <f>'第五周'!O6</f>
        <v>什錦炒麵</v>
      </c>
      <c r="E16" s="7" t="str">
        <f>'第五周'!V6</f>
        <v>吐司夾洋蔥肉片  /水果</v>
      </c>
      <c r="F16" s="185" t="str">
        <f>'第五周'!AC6</f>
        <v>瓠瓜肉絲粥</v>
      </c>
    </row>
    <row r="17" spans="1:6" s="9" customFormat="1" ht="51" customHeight="1" thickBot="1">
      <c r="A17" s="19" t="s">
        <v>10</v>
      </c>
      <c r="B17" s="14" t="str">
        <f>'第五周'!A17</f>
        <v>水果拼盤 / 鮮奶</v>
      </c>
      <c r="C17" s="14" t="str">
        <f>'第五周'!H17</f>
        <v>綠豆麥片牛奶</v>
      </c>
      <c r="D17" s="14" t="str">
        <f>'第五周'!O17</f>
        <v>水果拼盤 / 鮮奶</v>
      </c>
      <c r="E17" s="14" t="str">
        <f>'第五周'!V17</f>
        <v>小餐包   /   鮮奶米漿</v>
      </c>
      <c r="F17" s="186" t="str">
        <f>'第五周'!AC17</f>
        <v>水果優格 </v>
      </c>
    </row>
    <row r="18" spans="1:6" s="4" customFormat="1" ht="27.75" customHeight="1">
      <c r="A18" s="548" t="s">
        <v>184</v>
      </c>
      <c r="B18" s="548"/>
      <c r="C18" s="548"/>
      <c r="D18" s="548"/>
      <c r="E18" s="548"/>
      <c r="F18" s="548"/>
    </row>
    <row r="19" s="4" customFormat="1" ht="15.75">
      <c r="A19" s="20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2023-04-28T03:27:01Z</cp:lastPrinted>
  <dcterms:created xsi:type="dcterms:W3CDTF">2014-08-13T02:32:12Z</dcterms:created>
  <dcterms:modified xsi:type="dcterms:W3CDTF">2023-04-28T03:27:05Z</dcterms:modified>
  <cp:category/>
  <cp:version/>
  <cp:contentType/>
  <cp:contentStatus/>
</cp:coreProperties>
</file>